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8" windowWidth="14232" windowHeight="11460" tabRatio="877"/>
  </bookViews>
  <sheets>
    <sheet name="Index" sheetId="52" r:id="rId1"/>
    <sheet name="WP 1" sheetId="37" r:id="rId2"/>
    <sheet name="WP 2" sheetId="9" r:id="rId3"/>
    <sheet name="WP 3" sheetId="7" r:id="rId4"/>
    <sheet name="WP 4" sheetId="24" r:id="rId5"/>
    <sheet name="WP 5" sheetId="17" r:id="rId6"/>
    <sheet name="WP 6" sheetId="6" r:id="rId7"/>
    <sheet name="WP 7" sheetId="10" r:id="rId8"/>
    <sheet name="WP 8" sheetId="4" r:id="rId9"/>
    <sheet name="WP 8a" sheetId="47" r:id="rId10"/>
    <sheet name="WP 9" sheetId="25" r:id="rId11"/>
    <sheet name="WP 10" sheetId="48" r:id="rId12"/>
    <sheet name="WP 10a" sheetId="50" r:id="rId13"/>
    <sheet name="WP 11" sheetId="12" r:id="rId14"/>
    <sheet name="WP 12" sheetId="8" r:id="rId15"/>
    <sheet name="WP 13" sheetId="14" r:id="rId16"/>
    <sheet name="WP 13a" sheetId="49" r:id="rId17"/>
    <sheet name="WP 14" sheetId="27" r:id="rId18"/>
    <sheet name="WP 15" sheetId="44" r:id="rId19"/>
    <sheet name="WP 16" sheetId="40" r:id="rId20"/>
    <sheet name="WP 17" sheetId="43" r:id="rId21"/>
    <sheet name="WP 18" sheetId="51" r:id="rId22"/>
  </sheets>
  <definedNames>
    <definedName name="__123Graph_B" localSheetId="16" hidden="1">#REF!</definedName>
    <definedName name="__123Graph_B" localSheetId="18" hidden="1">#REF!</definedName>
    <definedName name="__123Graph_B" hidden="1">#REF!</definedName>
    <definedName name="__tet12" localSheetId="16" hidden="1">{"assumptions",#N/A,FALSE,"Scenario 1";"valuation",#N/A,FALSE,"Scenario 1"}</definedName>
    <definedName name="__tet12" localSheetId="18" hidden="1">{"assumptions",#N/A,FALSE,"Scenario 1";"valuation",#N/A,FALSE,"Scenario 1"}</definedName>
    <definedName name="__tet12" localSheetId="19" hidden="1">{"assumptions",#N/A,FALSE,"Scenario 1";"valuation",#N/A,FALSE,"Scenario 1"}</definedName>
    <definedName name="__tet12" hidden="1">{"assumptions",#N/A,FALSE,"Scenario 1";"valuation",#N/A,FALSE,"Scenario 1"}</definedName>
    <definedName name="__tet5" localSheetId="16" hidden="1">{"assumptions",#N/A,FALSE,"Scenario 1";"valuation",#N/A,FALSE,"Scenario 1"}</definedName>
    <definedName name="__tet5" localSheetId="18"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Dist_Bin" localSheetId="13" hidden="1">#REF!</definedName>
    <definedName name="_Dist_Bin" localSheetId="15" hidden="1">#REF!</definedName>
    <definedName name="_Dist_Bin" localSheetId="16" hidden="1">#REF!</definedName>
    <definedName name="_Dist_Bin" localSheetId="18" hidden="1">#REF!</definedName>
    <definedName name="_Dist_Bin" localSheetId="2" hidden="1">#REF!</definedName>
    <definedName name="_Dist_Bin" localSheetId="3" hidden="1">#REF!</definedName>
    <definedName name="_Dist_Bin" localSheetId="7" hidden="1">#REF!</definedName>
    <definedName name="_Dist_Bin" localSheetId="10" hidden="1">#REF!</definedName>
    <definedName name="_Dist_Bin" hidden="1">#REF!</definedName>
    <definedName name="_Dist_Values" localSheetId="13" hidden="1">#REF!</definedName>
    <definedName name="_Dist_Values" localSheetId="15" hidden="1">#REF!</definedName>
    <definedName name="_Dist_Values" localSheetId="16" hidden="1">#REF!</definedName>
    <definedName name="_Dist_Values" localSheetId="18" hidden="1">#REF!</definedName>
    <definedName name="_Dist_Values" localSheetId="2" hidden="1">#REF!</definedName>
    <definedName name="_Dist_Values" localSheetId="3" hidden="1">#REF!</definedName>
    <definedName name="_Dist_Values" localSheetId="7" hidden="1">#REF!</definedName>
    <definedName name="_Dist_Values" localSheetId="10" hidden="1">#REF!</definedName>
    <definedName name="_Dist_Values" hidden="1">#REF!</definedName>
    <definedName name="_Fill" localSheetId="13" hidden="1">#REF!</definedName>
    <definedName name="_Fill" localSheetId="15" hidden="1">#REF!</definedName>
    <definedName name="_Fill" localSheetId="16" hidden="1">#REF!</definedName>
    <definedName name="_Fill" localSheetId="18" hidden="1">#REF!</definedName>
    <definedName name="_Fill" localSheetId="2" hidden="1">#REF!</definedName>
    <definedName name="_Fill" localSheetId="3" hidden="1">#REF!</definedName>
    <definedName name="_Fill" localSheetId="7" hidden="1">#REF!</definedName>
    <definedName name="_Fill" localSheetId="10" hidden="1">#REF!</definedName>
    <definedName name="_Fill" hidden="1">#REF!</definedName>
    <definedName name="_Key1" localSheetId="13" hidden="1">#REF!</definedName>
    <definedName name="_Key1" localSheetId="15" hidden="1">#REF!</definedName>
    <definedName name="_Key1" localSheetId="16" hidden="1">#REF!</definedName>
    <definedName name="_Key1" localSheetId="18" hidden="1">#REF!</definedName>
    <definedName name="_Key1" localSheetId="10" hidden="1">#REF!</definedName>
    <definedName name="_Key1" hidden="1">#REF!</definedName>
    <definedName name="_MatInverse_In" localSheetId="13" hidden="1">#REF!</definedName>
    <definedName name="_MatInverse_In" localSheetId="16" hidden="1">#REF!</definedName>
    <definedName name="_MatInverse_In" localSheetId="18" hidden="1">#REF!</definedName>
    <definedName name="_MatInverse_In" localSheetId="10" hidden="1">#REF!</definedName>
    <definedName name="_MatInverse_In" hidden="1">#REF!</definedName>
    <definedName name="_MatInverse_Out" localSheetId="13" hidden="1">#REF!</definedName>
    <definedName name="_MatInverse_Out" localSheetId="16" hidden="1">#REF!</definedName>
    <definedName name="_MatInverse_Out" localSheetId="18" hidden="1">#REF!</definedName>
    <definedName name="_MatInverse_Out" localSheetId="10" hidden="1">#REF!</definedName>
    <definedName name="_MatInverse_Out" hidden="1">#REF!</definedName>
    <definedName name="_MatMult_A" localSheetId="16" hidden="1">#REF!</definedName>
    <definedName name="_MatMult_A" localSheetId="18" hidden="1">#REF!</definedName>
    <definedName name="_MatMult_A" localSheetId="10" hidden="1">#REF!</definedName>
    <definedName name="_MatMult_A" hidden="1">#REF!</definedName>
    <definedName name="_MatMult_AxB" localSheetId="16" hidden="1">#REF!</definedName>
    <definedName name="_MatMult_AxB" localSheetId="18" hidden="1">#REF!</definedName>
    <definedName name="_MatMult_AxB" localSheetId="10" hidden="1">#REF!</definedName>
    <definedName name="_MatMult_AxB" hidden="1">#REF!</definedName>
    <definedName name="_MatMult_B" localSheetId="16" hidden="1">#REF!</definedName>
    <definedName name="_MatMult_B" localSheetId="18" hidden="1">#REF!</definedName>
    <definedName name="_MatMult_B" localSheetId="10" hidden="1">#REF!</definedName>
    <definedName name="_MatMult_B" hidden="1">#REF!</definedName>
    <definedName name="_Order1" hidden="1">255</definedName>
    <definedName name="_Order2" hidden="1">255</definedName>
    <definedName name="_Parse_In" localSheetId="16" hidden="1">#REF!</definedName>
    <definedName name="_Parse_In" localSheetId="18" hidden="1">#REF!</definedName>
    <definedName name="_Parse_In" localSheetId="4" hidden="1">#REF!</definedName>
    <definedName name="_Parse_In" localSheetId="5" hidden="1">#REF!</definedName>
    <definedName name="_Parse_In" localSheetId="10" hidden="1">#REF!</definedName>
    <definedName name="_Parse_In" hidden="1">#REF!</definedName>
    <definedName name="_Parse_Out" localSheetId="16" hidden="1">#REF!</definedName>
    <definedName name="_Parse_Out" localSheetId="18" hidden="1">#REF!</definedName>
    <definedName name="_Parse_Out" localSheetId="5" hidden="1">#REF!</definedName>
    <definedName name="_Parse_Out" localSheetId="10" hidden="1">#REF!</definedName>
    <definedName name="_Parse_Out" hidden="1">#REF!</definedName>
    <definedName name="_Regression_Out" localSheetId="16" hidden="1">#REF!</definedName>
    <definedName name="_Regression_Out" localSheetId="18" hidden="1">#REF!</definedName>
    <definedName name="_Regression_Out" localSheetId="5" hidden="1">#REF!</definedName>
    <definedName name="_Regression_Out" localSheetId="10" hidden="1">#REF!</definedName>
    <definedName name="_Regression_Out" hidden="1">#REF!</definedName>
    <definedName name="_Regression_X" localSheetId="16" hidden="1">#REF!</definedName>
    <definedName name="_Regression_X" localSheetId="18" hidden="1">#REF!</definedName>
    <definedName name="_Regression_X" localSheetId="10" hidden="1">#REF!</definedName>
    <definedName name="_Regression_X" hidden="1">#REF!</definedName>
    <definedName name="_Regression_Y" localSheetId="16" hidden="1">#REF!</definedName>
    <definedName name="_Regression_Y" localSheetId="18" hidden="1">#REF!</definedName>
    <definedName name="_Regression_Y" localSheetId="10" hidden="1">#REF!</definedName>
    <definedName name="_Regression_Y" hidden="1">#REF!</definedName>
    <definedName name="_Sort" localSheetId="1" hidden="1">#REF!</definedName>
    <definedName name="_Sort" localSheetId="16" hidden="1">#REF!</definedName>
    <definedName name="_Sort" localSheetId="18" hidden="1">#REF!</definedName>
    <definedName name="_Sort" localSheetId="10" hidden="1">#REF!</definedName>
    <definedName name="_Sort" hidden="1">#REF!</definedName>
    <definedName name="_Table1_Out" localSheetId="16" hidden="1">#REF!</definedName>
    <definedName name="_Table1_Out" localSheetId="18" hidden="1">#REF!</definedName>
    <definedName name="_Table1_Out" localSheetId="10" hidden="1">#REF!</definedName>
    <definedName name="_Table1_Out" hidden="1">#REF!</definedName>
    <definedName name="_tet12" localSheetId="16" hidden="1">{"assumptions",#N/A,FALSE,"Scenario 1";"valuation",#N/A,FALSE,"Scenario 1"}</definedName>
    <definedName name="_tet12" localSheetId="18" hidden="1">{"assumptions",#N/A,FALSE,"Scenario 1";"valuation",#N/A,FALSE,"Scenario 1"}</definedName>
    <definedName name="_tet12" localSheetId="19" hidden="1">{"assumptions",#N/A,FALSE,"Scenario 1";"valuation",#N/A,FALSE,"Scenario 1"}</definedName>
    <definedName name="_tet12" hidden="1">{"assumptions",#N/A,FALSE,"Scenario 1";"valuation",#N/A,FALSE,"Scenario 1"}</definedName>
    <definedName name="_tet5" localSheetId="16" hidden="1">{"assumptions",#N/A,FALSE,"Scenario 1";"valuation",#N/A,FALSE,"Scenario 1"}</definedName>
    <definedName name="_tet5" localSheetId="18"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16" hidden="1">{"LBO Summary",#N/A,FALSE,"Summary"}</definedName>
    <definedName name="a" localSheetId="18" hidden="1">{"LBO Summary",#N/A,FALSE,"Summary"}</definedName>
    <definedName name="a" localSheetId="19" hidden="1">{"LBO Summary",#N/A,FALSE,"Summary"}</definedName>
    <definedName name="a" hidden="1">{"LBO Summary",#N/A,FALSE,"Summary"}</definedName>
    <definedName name="AS2DocOpenMode" hidden="1">"AS2DocumentEdit"</definedName>
    <definedName name="gIsBlank" localSheetId="13" hidden="1">ISBLANK(gIsRef)</definedName>
    <definedName name="gIsBlank" localSheetId="15" hidden="1">ISBLANK(gIsRef)</definedName>
    <definedName name="gIsBlank" localSheetId="16" hidden="1">ISBLANK(gIsRef)</definedName>
    <definedName name="gIsBlank" localSheetId="18" hidden="1">ISBLANK(gIsRef)</definedName>
    <definedName name="gIsBlank" localSheetId="19" hidden="1">ISBLANK(gIsRef)</definedName>
    <definedName name="gIsBlank" localSheetId="2" hidden="1">ISBLANK(gIsRef)</definedName>
    <definedName name="gIsBlank" localSheetId="3" hidden="1">ISBLANK(gIsRef)</definedName>
    <definedName name="gIsBlank" localSheetId="4" hidden="1">ISBLANK(gIsRef)</definedName>
    <definedName name="gIsBlank" localSheetId="5" hidden="1">ISBLANK(gIsRef)</definedName>
    <definedName name="gIsBlank" localSheetId="7" hidden="1">ISBLANK(gIsRef)</definedName>
    <definedName name="gIsBlank" localSheetId="10" hidden="1">ISBLANK(gIsRef)</definedName>
    <definedName name="gIsBlank" hidden="1">ISBLANK(gIsRef)</definedName>
    <definedName name="gIsError" localSheetId="13" hidden="1">ISERROR(gIsRef)</definedName>
    <definedName name="gIsError" localSheetId="15" hidden="1">ISERROR(gIsRef)</definedName>
    <definedName name="gIsError" localSheetId="16" hidden="1">ISERROR(gIsRef)</definedName>
    <definedName name="gIsError" localSheetId="18" hidden="1">ISERROR(gIsRef)</definedName>
    <definedName name="gIsError" localSheetId="19" hidden="1">ISERROR(gIsRef)</definedName>
    <definedName name="gIsError" localSheetId="2" hidden="1">ISERROR(gIsRef)</definedName>
    <definedName name="gIsError" localSheetId="3" hidden="1">ISERROR(gIsRef)</definedName>
    <definedName name="gIsError" localSheetId="4" hidden="1">ISERROR(gIsRef)</definedName>
    <definedName name="gIsError" localSheetId="5" hidden="1">ISERROR(gIsRef)</definedName>
    <definedName name="gIsError" localSheetId="7" hidden="1">ISERROR(gIsRef)</definedName>
    <definedName name="gIsError" localSheetId="10" hidden="1">ISERROR(gIsRef)</definedName>
    <definedName name="gIsError" hidden="1">ISERROR(gIsRef)</definedName>
    <definedName name="gIsInPrintArea" localSheetId="13" hidden="1">NOT(ISERROR(gIsRef !Print_Area))</definedName>
    <definedName name="gIsInPrintArea" localSheetId="15" hidden="1">NOT(ISERROR(gIsRef !Print_Area))</definedName>
    <definedName name="gIsInPrintArea" localSheetId="16" hidden="1">NOT(ISERROR(gIsRef !Print_Area))</definedName>
    <definedName name="gIsInPrintArea" localSheetId="18" hidden="1">NOT(ISERROR(gIsRef !Print_Area))</definedName>
    <definedName name="gIsInPrintArea" localSheetId="19" hidden="1">NOT(ISERROR(gIsRef !Print_Area))</definedName>
    <definedName name="gIsInPrintArea" localSheetId="2" hidden="1">NOT(ISERROR(gIsRef !Print_Area))</definedName>
    <definedName name="gIsInPrintArea" localSheetId="3" hidden="1">NOT(ISERROR(gIsRef !Print_Area))</definedName>
    <definedName name="gIsInPrintArea" localSheetId="4" hidden="1">NOT(ISERROR(gIsRef !Print_Area))</definedName>
    <definedName name="gIsInPrintArea" localSheetId="5" hidden="1">NOT(ISERROR(gIsRef !Print_Area))</definedName>
    <definedName name="gIsInPrintArea" localSheetId="7" hidden="1">NOT(ISERROR(gIsRef !Print_Area))</definedName>
    <definedName name="gIsInPrintArea" localSheetId="10" hidden="1">NOT(ISERROR(gIsRef !Print_Area))</definedName>
    <definedName name="gIsInPrintArea" hidden="1">NOT(ISERROR(gIsRef !Print_Area))</definedName>
    <definedName name="gIsInPrintTitles" localSheetId="13" hidden="1">NOT(ISERROR(gIsRef !Print_Titles))</definedName>
    <definedName name="gIsInPrintTitles" localSheetId="15" hidden="1">NOT(ISERROR(gIsRef !Print_Titles))</definedName>
    <definedName name="gIsInPrintTitles" localSheetId="16" hidden="1">NOT(ISERROR(gIsRef !Print_Titles))</definedName>
    <definedName name="gIsInPrintTitles" localSheetId="18" hidden="1">NOT(ISERROR(gIsRef !Print_Titles))</definedName>
    <definedName name="gIsInPrintTitles" localSheetId="19" hidden="1">NOT(ISERROR(gIsRef !Print_Titles))</definedName>
    <definedName name="gIsInPrintTitles" localSheetId="2" hidden="1">NOT(ISERROR(gIsRef !Print_Titles))</definedName>
    <definedName name="gIsInPrintTitles" localSheetId="3" hidden="1">NOT(ISERROR(gIsRef !Print_Titles))</definedName>
    <definedName name="gIsInPrintTitles" localSheetId="4" hidden="1">NOT(ISERROR(gIsRef !Print_Titles))</definedName>
    <definedName name="gIsInPrintTitles" localSheetId="5" hidden="1">NOT(ISERROR(gIsRef !Print_Titles))</definedName>
    <definedName name="gIsInPrintTitles" localSheetId="7" hidden="1">NOT(ISERROR(gIsRef !Print_Titles))</definedName>
    <definedName name="gIsInPrintTitles" localSheetId="10" hidden="1">NOT(ISERROR(gIsRef !Print_Titles))</definedName>
    <definedName name="gIsInPrintTitles" hidden="1">NOT(ISERROR(gIsRef !Print_Titles))</definedName>
    <definedName name="gIsNumber" localSheetId="13" hidden="1">ISNUMBER(gIsRef)</definedName>
    <definedName name="gIsNumber" localSheetId="15" hidden="1">ISNUMBER(gIsRef)</definedName>
    <definedName name="gIsNumber" localSheetId="16" hidden="1">ISNUMBER(gIsRef)</definedName>
    <definedName name="gIsNumber" localSheetId="18" hidden="1">ISNUMBER(gIsRef)</definedName>
    <definedName name="gIsNumber" localSheetId="19" hidden="1">ISNUMBER(gIsRef)</definedName>
    <definedName name="gIsNumber" localSheetId="2" hidden="1">ISNUMBER(gIsRef)</definedName>
    <definedName name="gIsNumber" localSheetId="3" hidden="1">ISNUMBER(gIsRef)</definedName>
    <definedName name="gIsNumber" localSheetId="4" hidden="1">ISNUMBER(gIsRef)</definedName>
    <definedName name="gIsNumber" localSheetId="5" hidden="1">ISNUMBER(gIsRef)</definedName>
    <definedName name="gIsNumber" localSheetId="7" hidden="1">ISNUMBER(gIsRef)</definedName>
    <definedName name="gIsNumber" localSheetId="10" hidden="1">ISNUMBER(gIsRef)</definedName>
    <definedName name="gIsNumber" hidden="1">ISNUMBER(gIsRef)</definedName>
    <definedName name="gIsPreviousSheet" localSheetId="13" hidden="1">PrevShtCellValue(gIsRef)&lt;&gt;gIsRef</definedName>
    <definedName name="gIsPreviousSheet" localSheetId="15" hidden="1">PrevShtCellValue(gIsRef)&lt;&gt;gIsRef</definedName>
    <definedName name="gIsPreviousSheet" localSheetId="16" hidden="1">PrevShtCellValue(gIsRef)&lt;&gt;gIsRef</definedName>
    <definedName name="gIsPreviousSheet" localSheetId="18" hidden="1">PrevShtCellValue(gIsRef)&lt;&gt;gIsRef</definedName>
    <definedName name="gIsPreviousSheet" localSheetId="19" hidden="1">PrevShtCellValue(gIsRef)&lt;&gt;gIsRef</definedName>
    <definedName name="gIsPreviousSheet" localSheetId="2" hidden="1">PrevShtCellValue(gIsRef)&lt;&gt;gIsRef</definedName>
    <definedName name="gIsPreviousSheet" localSheetId="3" hidden="1">PrevShtCellValue(gIsRef)&lt;&gt;gIsRef</definedName>
    <definedName name="gIsPreviousSheet" localSheetId="4" hidden="1">PrevShtCellValue(gIsRef)&lt;&gt;gIsRef</definedName>
    <definedName name="gIsPreviousSheet" localSheetId="5" hidden="1">PrevShtCellValue(gIsRef)&lt;&gt;gIsRef</definedName>
    <definedName name="gIsPreviousSheet" localSheetId="7" hidden="1">PrevShtCellValue(gIsRef)&lt;&gt;gIsRef</definedName>
    <definedName name="gIsPreviousSheet" localSheetId="10" hidden="1">PrevShtCellValue(gIsRef)&lt;&gt;gIsRef</definedName>
    <definedName name="gIsPreviousSheet" hidden="1">PrevShtCellValue(gIsRef)&lt;&gt;gIsRef</definedName>
    <definedName name="gIsRef" hidden="1">INDIRECT("rc",FALSE)</definedName>
    <definedName name="gIsText" localSheetId="13" hidden="1">ISTEXT(gIsRef)</definedName>
    <definedName name="gIsText" localSheetId="15" hidden="1">ISTEXT(gIsRef)</definedName>
    <definedName name="gIsText" localSheetId="16" hidden="1">ISTEXT(gIsRef)</definedName>
    <definedName name="gIsText" localSheetId="18" hidden="1">ISTEXT(gIsRef)</definedName>
    <definedName name="gIsText" localSheetId="19" hidden="1">ISTEXT(gIsRef)</definedName>
    <definedName name="gIsText" localSheetId="2" hidden="1">ISTEXT(gIsRef)</definedName>
    <definedName name="gIsText" localSheetId="3" hidden="1">ISTEXT(gIsRef)</definedName>
    <definedName name="gIsText" localSheetId="4" hidden="1">ISTEXT(gIsRef)</definedName>
    <definedName name="gIsText" localSheetId="5" hidden="1">ISTEXT(gIsRef)</definedName>
    <definedName name="gIsText" localSheetId="7" hidden="1">ISTEXT(gIsRef)</definedName>
    <definedName name="gIsText" localSheetId="10" hidden="1">ISTEXT(gIsRef)</definedName>
    <definedName name="gIsText" hidden="1">ISTEXT(gIsRef)</definedName>
    <definedName name="_xlnm.Print_Area" localSheetId="1">'WP 1'!$A$1:$D$297</definedName>
    <definedName name="_xlnm.Print_Area" localSheetId="11">'WP 10'!$A$1:$U$31</definedName>
    <definedName name="_xlnm.Print_Area" localSheetId="13">'WP 11'!$A$1:$F$27</definedName>
    <definedName name="_xlnm.Print_Area" localSheetId="15">'WP 13'!$A$1:$E$33</definedName>
    <definedName name="_xlnm.Print_Area" localSheetId="16">'WP 13a'!$A$1:$C$41</definedName>
    <definedName name="_xlnm.Print_Area" localSheetId="17">'WP 14'!$B$1:$K$41</definedName>
    <definedName name="_xlnm.Print_Area" localSheetId="18">'WP 15'!$A$1:$H$63</definedName>
    <definedName name="_xlnm.Print_Area" localSheetId="20">'WP 17'!$A$1:$J$14</definedName>
    <definedName name="_xlnm.Print_Area" localSheetId="21">'WP 18'!$A:$G</definedName>
    <definedName name="_xlnm.Print_Area" localSheetId="2">'WP 2'!$A$1:$E$23</definedName>
    <definedName name="_xlnm.Print_Area" localSheetId="3">'WP 3'!$A$1:$H$19</definedName>
    <definedName name="_xlnm.Print_Area" localSheetId="4">'WP 4'!$A$1:$I$27</definedName>
    <definedName name="_xlnm.Print_Area" localSheetId="5">'WP 5'!$A$1:$D$44</definedName>
    <definedName name="_xlnm.Print_Area" localSheetId="7">'WP 7'!$A$1:$J$18</definedName>
    <definedName name="_xlnm.Print_Area" localSheetId="8">'WP 8'!$A$1:$D$32</definedName>
    <definedName name="_xlnm.Print_Area" localSheetId="9">'WP 8a'!$A$1:$H$51</definedName>
    <definedName name="test" localSheetId="16" hidden="1">{"LBO Summary",#N/A,FALSE,"Summary"}</definedName>
    <definedName name="test" localSheetId="18" hidden="1">{"LBO Summary",#N/A,FALSE,"Summary"}</definedName>
    <definedName name="test" localSheetId="19" hidden="1">{"LBO Summary",#N/A,FALSE,"Summary"}</definedName>
    <definedName name="test" hidden="1">{"LBO Summary",#N/A,FALSE,"Summary"}</definedName>
    <definedName name="test1" localSheetId="16" hidden="1">{"LBO Summary",#N/A,FALSE,"Summary";"Income Statement",#N/A,FALSE,"Model";"Cash Flow",#N/A,FALSE,"Model";"Balance Sheet",#N/A,FALSE,"Model";"Working Capital",#N/A,FALSE,"Model";"Pro Forma Balance Sheets",#N/A,FALSE,"PFBS";"Debt Balances",#N/A,FALSE,"Model";"Fee Schedules",#N/A,FALSE,"Model"}</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6"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6" hidden="1">{"LBO Summary",#N/A,FALSE,"Summary"}</definedName>
    <definedName name="test11" localSheetId="18" hidden="1">{"LBO Summary",#N/A,FALSE,"Summary"}</definedName>
    <definedName name="test11" localSheetId="19" hidden="1">{"LBO Summary",#N/A,FALSE,"Summary"}</definedName>
    <definedName name="test11" hidden="1">{"LBO Summary",#N/A,FALSE,"Summary"}</definedName>
    <definedName name="test12" localSheetId="16" hidden="1">{"assumptions",#N/A,FALSE,"Scenario 1";"valuation",#N/A,FALSE,"Scenario 1"}</definedName>
    <definedName name="test12" localSheetId="18" hidden="1">{"assumptions",#N/A,FALSE,"Scenario 1";"valuation",#N/A,FALSE,"Scenario 1"}</definedName>
    <definedName name="test12" localSheetId="19" hidden="1">{"assumptions",#N/A,FALSE,"Scenario 1";"valuation",#N/A,FALSE,"Scenario 1"}</definedName>
    <definedName name="test12" hidden="1">{"assumptions",#N/A,FALSE,"Scenario 1";"valuation",#N/A,FALSE,"Scenario 1"}</definedName>
    <definedName name="test13" localSheetId="16" hidden="1">{"LBO Summary",#N/A,FALSE,"Summary"}</definedName>
    <definedName name="test13" localSheetId="18" hidden="1">{"LBO Summary",#N/A,FALSE,"Summary"}</definedName>
    <definedName name="test13" localSheetId="19" hidden="1">{"LBO Summary",#N/A,FALSE,"Summary"}</definedName>
    <definedName name="test13" hidden="1">{"LBO Summary",#N/A,FALSE,"Summary"}</definedName>
    <definedName name="test14" localSheetId="16" hidden="1">{"LBO Summary",#N/A,FALSE,"Summary";"Income Statement",#N/A,FALSE,"Model";"Cash Flow",#N/A,FALSE,"Model";"Balance Sheet",#N/A,FALSE,"Model";"Working Capital",#N/A,FALSE,"Model";"Pro Forma Balance Sheets",#N/A,FALSE,"PFBS";"Debt Balances",#N/A,FALSE,"Model";"Fee Schedules",#N/A,FALSE,"Model"}</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6"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6"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6" hidden="1">{"LBO Summary",#N/A,FALSE,"Summary"}</definedName>
    <definedName name="test2" localSheetId="18" hidden="1">{"LBO Summary",#N/A,FALSE,"Summary"}</definedName>
    <definedName name="test2" localSheetId="19" hidden="1">{"LBO Summary",#N/A,FALSE,"Summary"}</definedName>
    <definedName name="test2" hidden="1">{"LBO Summary",#N/A,FALSE,"Summary"}</definedName>
    <definedName name="test4" localSheetId="16" hidden="1">{"assumptions",#N/A,FALSE,"Scenario 1";"valuation",#N/A,FALSE,"Scenario 1"}</definedName>
    <definedName name="test4" localSheetId="18" hidden="1">{"assumptions",#N/A,FALSE,"Scenario 1";"valuation",#N/A,FALSE,"Scenario 1"}</definedName>
    <definedName name="test4" localSheetId="19" hidden="1">{"assumptions",#N/A,FALSE,"Scenario 1";"valuation",#N/A,FALSE,"Scenario 1"}</definedName>
    <definedName name="test4" hidden="1">{"assumptions",#N/A,FALSE,"Scenario 1";"valuation",#N/A,FALSE,"Scenario 1"}</definedName>
    <definedName name="test6" localSheetId="16" hidden="1">{"LBO Summary",#N/A,FALSE,"Summary"}</definedName>
    <definedName name="test6" localSheetId="18" hidden="1">{"LBO Summary",#N/A,FALSE,"Summary"}</definedName>
    <definedName name="test6" localSheetId="19" hidden="1">{"LBO Summary",#N/A,FALSE,"Summary"}</definedName>
    <definedName name="test6" hidden="1">{"LBO Summary",#N/A,FALSE,"Summary"}</definedName>
    <definedName name="TextRefCopyRangeCount" hidden="1">1</definedName>
    <definedName name="Value" localSheetId="16" hidden="1">{"assumptions",#N/A,FALSE,"Scenario 1";"valuation",#N/A,FALSE,"Scenario 1"}</definedName>
    <definedName name="Value" localSheetId="18" hidden="1">{"assumptions",#N/A,FALSE,"Scenario 1";"valuation",#N/A,FALSE,"Scenario 1"}</definedName>
    <definedName name="Value" localSheetId="19" hidden="1">{"assumptions",#N/A,FALSE,"Scenario 1";"valuation",#N/A,FALSE,"Scenario 1"}</definedName>
    <definedName name="Value" hidden="1">{"assumptions",#N/A,FALSE,"Scenario 1";"valuation",#N/A,FALSE,"Scenario 1"}</definedName>
    <definedName name="wrn.ARKANSAS." localSheetId="13" hidden="1">{#N/A,#N/A,FALSE,"LOCAL.XLS"}</definedName>
    <definedName name="wrn.ARKANSAS." localSheetId="15" hidden="1">{#N/A,#N/A,FALSE,"LOCAL.XLS"}</definedName>
    <definedName name="wrn.ARKANSAS." localSheetId="16" hidden="1">{#N/A,#N/A,FALSE,"LOCAL.XLS"}</definedName>
    <definedName name="wrn.ARKANSAS." localSheetId="18" hidden="1">{#N/A,#N/A,FALSE,"LOCAL.XLS"}</definedName>
    <definedName name="wrn.ARKANSAS." localSheetId="19" hidden="1">{#N/A,#N/A,FALSE,"LOCAL.XLS"}</definedName>
    <definedName name="wrn.ARKANSAS." localSheetId="2" hidden="1">{#N/A,#N/A,FALSE,"LOCAL.XLS"}</definedName>
    <definedName name="wrn.ARKANSAS." localSheetId="3" hidden="1">{#N/A,#N/A,FALSE,"LOCAL.XLS"}</definedName>
    <definedName name="wrn.ARKANSAS." localSheetId="4" hidden="1">{#N/A,#N/A,FALSE,"LOCAL.XLS"}</definedName>
    <definedName name="wrn.ARKANSAS." localSheetId="5" hidden="1">{#N/A,#N/A,FALSE,"LOCAL.XLS"}</definedName>
    <definedName name="wrn.ARKANSAS." localSheetId="7" hidden="1">{#N/A,#N/A,FALSE,"LOCAL.XLS"}</definedName>
    <definedName name="wrn.ARKANSAS." localSheetId="10" hidden="1">{#N/A,#N/A,FALSE,"LOCAL.XLS"}</definedName>
    <definedName name="wrn.ARKANSAS." hidden="1">{#N/A,#N/A,FALSE,"LOCAL.XLS"}</definedName>
    <definedName name="wrn.IPO._.Valuation." localSheetId="16" hidden="1">{"assumptions",#N/A,FALSE,"Scenario 1";"valuation",#N/A,FALSE,"Scenario 1"}</definedName>
    <definedName name="wrn.IPO._.Valuation." localSheetId="18" hidden="1">{"assumptions",#N/A,FALSE,"Scenario 1";"valuation",#N/A,FALSE,"Scenario 1"}</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16" hidden="1">{"LBO Summary",#N/A,FALSE,"Summary"}</definedName>
    <definedName name="wrn.LBO._.Summary." localSheetId="18" hidden="1">{"LBO Summary",#N/A,FALSE,"Summary"}</definedName>
    <definedName name="wrn.LBO._.Summary." localSheetId="19" hidden="1">{"LBO Summary",#N/A,FALSE,"Summary"}</definedName>
    <definedName name="wrn.LBO._.Summary." hidden="1">{"LBO Summary",#N/A,FALSE,"Summary"}</definedName>
    <definedName name="wrn.LOUISIANA." localSheetId="13" hidden="1">{#N/A,#N/A,FALSE,"LOCAL.XLS"}</definedName>
    <definedName name="wrn.LOUISIANA." localSheetId="15" hidden="1">{#N/A,#N/A,FALSE,"LOCAL.XLS"}</definedName>
    <definedName name="wrn.LOUISIANA." localSheetId="16" hidden="1">{#N/A,#N/A,FALSE,"LOCAL.XLS"}</definedName>
    <definedName name="wrn.LOUISIANA." localSheetId="18" hidden="1">{#N/A,#N/A,FALSE,"LOCAL.XLS"}</definedName>
    <definedName name="wrn.LOUISIANA." localSheetId="19" hidden="1">{#N/A,#N/A,FALSE,"LOCAL.XLS"}</definedName>
    <definedName name="wrn.LOUISIANA." localSheetId="2" hidden="1">{#N/A,#N/A,FALSE,"LOCAL.XLS"}</definedName>
    <definedName name="wrn.LOUISIANA." localSheetId="3" hidden="1">{#N/A,#N/A,FALSE,"LOCAL.XLS"}</definedName>
    <definedName name="wrn.LOUISIANA." localSheetId="4" hidden="1">{#N/A,#N/A,FALSE,"LOCAL.XLS"}</definedName>
    <definedName name="wrn.LOUISIANA." localSheetId="5" hidden="1">{#N/A,#N/A,FALSE,"LOCAL.XLS"}</definedName>
    <definedName name="wrn.LOUISIANA." localSheetId="7" hidden="1">{#N/A,#N/A,FALSE,"LOCAL.XLS"}</definedName>
    <definedName name="wrn.LOUISIANA." localSheetId="10" hidden="1">{#N/A,#N/A,FALSE,"LOCAL.XLS"}</definedName>
    <definedName name="wrn.LOUISIANA." hidden="1">{#N/A,#N/A,FALSE,"LOCAL.XLS"}</definedName>
    <definedName name="wrn.Print._.All._.Pages." localSheetId="16" hidden="1">{"LBO Summary",#N/A,FALSE,"Summary";"Income Statement",#N/A,FALSE,"Model";"Cash Flow",#N/A,FALSE,"Model";"Balance Sheet",#N/A,FALSE,"Model";"Working Capital",#N/A,FALSE,"Model";"Pro Forma Balance Sheets",#N/A,FALSE,"PFBS";"Debt Balances",#N/A,FALSE,"Model";"Fee Schedules",#N/A,FALSE,"Model"}</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localSheetId="16"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8"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9" hidden="1">{#N/A,#N/A,FALSE,"TD 1";#N/A,#N/A,FALSE,"TD 2";#N/A,#N/A,FALSE,"TD 3";#N/A,#N/A,FALSE,"TD 4";#N/A,#N/A,FALSE,"TD 5A";#N/A,#N/A,FALSE,"TD 5B";#N/A,#N/A,FALSE,"TD 6A";#N/A,#N/A,FALSE,"TD 6B";#N/A,#N/A,FALSE,"TD 7";#N/A,#N/A,FALSE,"TD 8";#N/A,#N/A,FALSE,"TD 9A";#N/A,#N/A,FALSE,"TD 9B";#N/A,#N/A,FALSE,"TD 10";#N/A,#N/A,FALSE,"TD 11";#N/A,#N/A,FALSE,"TD 12";#N/A,#N/A,FALSE,"TD DEC"}</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localSheetId="11" hidden="1">{#N/A,#N/A,FALSE,"AP&amp;L"}</definedName>
    <definedName name="wrn.summary." localSheetId="13" hidden="1">{#N/A,#N/A,FALSE,"AP&amp;L"}</definedName>
    <definedName name="wrn.summary." localSheetId="15" hidden="1">{#N/A,#N/A,FALSE,"AP&amp;L"}</definedName>
    <definedName name="wrn.summary." localSheetId="16" hidden="1">{#N/A,#N/A,FALSE,"AP&amp;L"}</definedName>
    <definedName name="wrn.summary." localSheetId="18" hidden="1">{#N/A,#N/A,FALSE,"AP&amp;L"}</definedName>
    <definedName name="wrn.summary." localSheetId="19" hidden="1">{#N/A,#N/A,FALSE,"AP&amp;L"}</definedName>
    <definedName name="wrn.summary." localSheetId="2" hidden="1">{#N/A,#N/A,FALSE,"AP&amp;L"}</definedName>
    <definedName name="wrn.summary." localSheetId="3" hidden="1">{#N/A,#N/A,FALSE,"AP&amp;L"}</definedName>
    <definedName name="wrn.summary." localSheetId="4" hidden="1">{#N/A,#N/A,FALSE,"AP&amp;L"}</definedName>
    <definedName name="wrn.summary." localSheetId="5" hidden="1">{#N/A,#N/A,FALSE,"AP&amp;L"}</definedName>
    <definedName name="wrn.summary." localSheetId="7" hidden="1">{#N/A,#N/A,FALSE,"AP&amp;L"}</definedName>
    <definedName name="wrn.summary." localSheetId="8" hidden="1">{#N/A,#N/A,FALSE,"AP&amp;L"}</definedName>
    <definedName name="wrn.summary." localSheetId="10" hidden="1">{#N/A,#N/A,FALSE,"AP&amp;L"}</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A3" i="52" l="1"/>
  <c r="E12" i="14"/>
  <c r="E17" i="14"/>
  <c r="E19" i="14"/>
  <c r="E22" i="14"/>
  <c r="E25" i="14"/>
  <c r="E29" i="14"/>
  <c r="E30" i="14"/>
  <c r="E32" i="14"/>
  <c r="D185" i="37"/>
  <c r="D145" i="37"/>
  <c r="C145" i="37"/>
  <c r="D144" i="37"/>
  <c r="A144" i="37"/>
  <c r="A145" i="37"/>
  <c r="D97" i="37"/>
  <c r="D98" i="37"/>
  <c r="D99" i="37"/>
  <c r="D100" i="37"/>
  <c r="A5" i="37"/>
  <c r="A6" i="37"/>
  <c r="A7" i="37"/>
  <c r="A8" i="37"/>
  <c r="A9" i="37"/>
  <c r="A10" i="37"/>
  <c r="A12" i="37"/>
  <c r="A13" i="37"/>
  <c r="A14" i="37"/>
  <c r="A16" i="37"/>
  <c r="A17" i="37"/>
  <c r="A18" i="37"/>
  <c r="A20" i="37"/>
  <c r="A21" i="37"/>
  <c r="A22" i="37"/>
  <c r="A23" i="37"/>
  <c r="A25" i="37"/>
  <c r="A26" i="37"/>
  <c r="A28" i="37"/>
  <c r="A29" i="37"/>
  <c r="A30" i="37"/>
  <c r="A31" i="37"/>
  <c r="A32" i="37"/>
  <c r="A33" i="37"/>
  <c r="A34" i="37"/>
  <c r="A35" i="37"/>
  <c r="A36" i="37"/>
  <c r="A37" i="37"/>
  <c r="A38" i="37"/>
  <c r="A39" i="37"/>
  <c r="A41" i="37"/>
  <c r="A42" i="37"/>
  <c r="A43" i="37"/>
  <c r="A45" i="37"/>
  <c r="A46" i="37"/>
  <c r="A47" i="37"/>
  <c r="A49" i="37"/>
  <c r="A50" i="37"/>
  <c r="A51" i="37"/>
  <c r="A52" i="37"/>
  <c r="A54" i="37"/>
  <c r="A55" i="37"/>
  <c r="A57" i="37"/>
  <c r="A58" i="37"/>
  <c r="A60" i="37"/>
  <c r="A61" i="37"/>
  <c r="A62" i="37"/>
  <c r="A64" i="37"/>
  <c r="A65" i="37"/>
  <c r="A66" i="37"/>
  <c r="A68" i="37"/>
  <c r="A69" i="37"/>
  <c r="A70" i="37"/>
  <c r="A72" i="37"/>
  <c r="A74" i="37"/>
  <c r="A75" i="37"/>
  <c r="A76" i="37"/>
  <c r="A77" i="37"/>
  <c r="A78" i="37"/>
  <c r="A79" i="37"/>
  <c r="A81" i="37"/>
  <c r="A83" i="37"/>
  <c r="A84" i="37"/>
  <c r="A85" i="37"/>
  <c r="A86" i="37"/>
  <c r="A87" i="37"/>
  <c r="A88" i="37"/>
  <c r="A89" i="37"/>
  <c r="A91" i="37"/>
  <c r="A92" i="37"/>
  <c r="A93" i="37"/>
  <c r="A95" i="37"/>
  <c r="A96" i="37"/>
  <c r="A97" i="37"/>
  <c r="A98" i="37"/>
  <c r="A99" i="37"/>
  <c r="C100" i="37"/>
  <c r="A100" i="37"/>
  <c r="C89" i="37"/>
  <c r="D85" i="37"/>
  <c r="D86" i="37"/>
  <c r="D87" i="37"/>
  <c r="D88" i="37"/>
  <c r="D89" i="37"/>
  <c r="G18" i="51"/>
  <c r="F18" i="51"/>
  <c r="D18" i="51"/>
  <c r="C18" i="51"/>
  <c r="G15" i="51"/>
  <c r="D8" i="51"/>
  <c r="D15" i="51"/>
  <c r="D20" i="51"/>
  <c r="F15" i="51"/>
  <c r="F8" i="51"/>
  <c r="F20" i="51"/>
  <c r="G8" i="51"/>
  <c r="G20" i="51"/>
  <c r="C8" i="51"/>
  <c r="C15" i="51"/>
  <c r="C20" i="51"/>
  <c r="B34" i="17"/>
  <c r="S7" i="48"/>
  <c r="T10" i="48"/>
  <c r="T11" i="48"/>
  <c r="T12" i="48"/>
  <c r="T13" i="48"/>
  <c r="T14" i="48"/>
  <c r="T15" i="48"/>
  <c r="T16" i="48"/>
  <c r="T17" i="48"/>
  <c r="T18" i="48"/>
  <c r="T19" i="48"/>
  <c r="T20" i="48"/>
  <c r="T9" i="48"/>
  <c r="S9" i="48"/>
  <c r="S10" i="48"/>
  <c r="S11" i="48"/>
  <c r="S12" i="48"/>
  <c r="S13" i="48"/>
  <c r="S14" i="48"/>
  <c r="S15" i="48"/>
  <c r="S16" i="48"/>
  <c r="S17" i="48"/>
  <c r="S18" i="48"/>
  <c r="S19" i="48"/>
  <c r="S20" i="48"/>
  <c r="S22" i="48"/>
  <c r="R10" i="48"/>
  <c r="U10" i="48"/>
  <c r="R11" i="48"/>
  <c r="U11" i="48"/>
  <c r="R12" i="48"/>
  <c r="U12" i="48"/>
  <c r="R13" i="48"/>
  <c r="U13" i="48"/>
  <c r="R14" i="48"/>
  <c r="U14" i="48"/>
  <c r="R15" i="48"/>
  <c r="U15" i="48"/>
  <c r="R16" i="48"/>
  <c r="U16" i="48"/>
  <c r="R17" i="48"/>
  <c r="U17" i="48"/>
  <c r="R18" i="48"/>
  <c r="U18" i="48"/>
  <c r="R19" i="48"/>
  <c r="U19" i="48"/>
  <c r="R20" i="48"/>
  <c r="U20" i="48"/>
  <c r="R9" i="48"/>
  <c r="U9" i="48"/>
  <c r="U22" i="48"/>
  <c r="T22" i="48"/>
  <c r="J8" i="10"/>
  <c r="J9" i="10"/>
  <c r="J10" i="10"/>
  <c r="J11" i="10"/>
  <c r="J12" i="10"/>
  <c r="J7" i="10"/>
  <c r="C30" i="49"/>
  <c r="K28" i="27"/>
  <c r="K27" i="27"/>
  <c r="K29" i="27"/>
  <c r="H20" i="47"/>
  <c r="D20" i="47"/>
  <c r="E20" i="47"/>
  <c r="F20" i="47"/>
  <c r="G20" i="47"/>
  <c r="C20" i="47"/>
  <c r="B12" i="47"/>
  <c r="J29" i="27"/>
  <c r="I29" i="27"/>
  <c r="H29" i="27"/>
  <c r="G29" i="27"/>
  <c r="F29" i="27"/>
  <c r="E29" i="27"/>
  <c r="D226" i="37"/>
  <c r="K39" i="27"/>
  <c r="K34" i="27"/>
  <c r="A12" i="27"/>
  <c r="A13" i="27"/>
  <c r="A14" i="27"/>
  <c r="A15" i="27"/>
  <c r="A16" i="27"/>
  <c r="A17" i="27"/>
  <c r="A18" i="27"/>
  <c r="A19" i="27"/>
  <c r="A20" i="27"/>
  <c r="A21" i="27"/>
  <c r="A22" i="27"/>
  <c r="A23" i="27"/>
  <c r="A27" i="27"/>
  <c r="A28" i="27"/>
  <c r="A29" i="27"/>
  <c r="A30" i="27"/>
  <c r="A33" i="27"/>
  <c r="A34" i="27"/>
  <c r="A35" i="27"/>
  <c r="A38" i="27"/>
  <c r="A39" i="27"/>
  <c r="A40" i="27"/>
  <c r="D143" i="37"/>
  <c r="D142" i="37"/>
  <c r="D112" i="37"/>
  <c r="D292" i="37"/>
  <c r="D291" i="37"/>
  <c r="C6" i="4"/>
  <c r="D269" i="37"/>
  <c r="C27" i="4"/>
  <c r="A5" i="24"/>
  <c r="E9" i="14"/>
  <c r="E28" i="14"/>
  <c r="E15" i="14"/>
  <c r="E8" i="14"/>
  <c r="C39" i="49"/>
  <c r="C21" i="49"/>
  <c r="C12" i="49"/>
  <c r="R24" i="48"/>
  <c r="D282" i="37"/>
  <c r="Q24" i="48"/>
  <c r="P24" i="48"/>
  <c r="O24" i="48"/>
  <c r="N24" i="48"/>
  <c r="M24" i="48"/>
  <c r="L24" i="48"/>
  <c r="K24" i="48"/>
  <c r="J24" i="48"/>
  <c r="I24" i="48"/>
  <c r="H24" i="48"/>
  <c r="G24" i="48"/>
  <c r="F24" i="48"/>
  <c r="R22" i="48"/>
  <c r="Q22" i="48"/>
  <c r="P22" i="48"/>
  <c r="O22" i="48"/>
  <c r="N22" i="48"/>
  <c r="M22" i="48"/>
  <c r="L22" i="48"/>
  <c r="K22" i="48"/>
  <c r="J22" i="48"/>
  <c r="I22" i="48"/>
  <c r="H22" i="48"/>
  <c r="G22" i="48"/>
  <c r="F22" i="48"/>
  <c r="D141" i="37"/>
  <c r="G19" i="47"/>
  <c r="H19" i="47"/>
  <c r="G18" i="47"/>
  <c r="H18" i="47"/>
  <c r="G17" i="47"/>
  <c r="H17" i="47"/>
  <c r="D31" i="44"/>
  <c r="H31" i="44"/>
  <c r="D199" i="37"/>
  <c r="D197" i="37"/>
  <c r="D26" i="37"/>
  <c r="A204" i="37"/>
  <c r="A205" i="37"/>
  <c r="A206" i="37"/>
  <c r="A207" i="37"/>
  <c r="A208" i="37"/>
  <c r="A209" i="37"/>
  <c r="A211" i="37"/>
  <c r="A212" i="37"/>
  <c r="A213" i="37"/>
  <c r="A214" i="37"/>
  <c r="A215" i="37"/>
  <c r="A217" i="37"/>
  <c r="A218" i="37"/>
  <c r="A219" i="37"/>
  <c r="A220" i="37"/>
  <c r="A222" i="37"/>
  <c r="A223" i="37"/>
  <c r="A224" i="37"/>
  <c r="A225" i="37"/>
  <c r="A226" i="37"/>
  <c r="A227" i="37"/>
  <c r="A228" i="37"/>
  <c r="A229" i="37"/>
  <c r="A230" i="37"/>
  <c r="A231" i="37"/>
  <c r="A233" i="37"/>
  <c r="A235" i="37"/>
  <c r="A236" i="37"/>
  <c r="A237" i="37"/>
  <c r="A238" i="37"/>
  <c r="A240" i="37"/>
  <c r="A241" i="37"/>
  <c r="A242" i="37"/>
  <c r="A243" i="37"/>
  <c r="A244" i="37"/>
  <c r="A245" i="37"/>
  <c r="A246" i="37"/>
  <c r="A247" i="37"/>
  <c r="A248" i="37"/>
  <c r="A249" i="37"/>
  <c r="A251" i="37"/>
  <c r="A252" i="37"/>
  <c r="A253" i="37"/>
  <c r="A255" i="37"/>
  <c r="A256" i="37"/>
  <c r="A257" i="37"/>
  <c r="A258" i="37"/>
  <c r="A259" i="37"/>
  <c r="A261" i="37"/>
  <c r="A262" i="37"/>
  <c r="A263" i="37"/>
  <c r="A265" i="37"/>
  <c r="A266" i="37"/>
  <c r="A267" i="37"/>
  <c r="A268" i="37"/>
  <c r="A269" i="37"/>
  <c r="A270" i="37"/>
  <c r="A271" i="37"/>
  <c r="A272" i="37"/>
  <c r="A273" i="37"/>
  <c r="A274" i="37"/>
  <c r="A275" i="37"/>
  <c r="A276" i="37"/>
  <c r="A101" i="37"/>
  <c r="A103" i="37"/>
  <c r="A104" i="37"/>
  <c r="A105" i="37"/>
  <c r="A106" i="37"/>
  <c r="A107" i="37"/>
  <c r="A108" i="37"/>
  <c r="A109" i="37"/>
  <c r="A110" i="37"/>
  <c r="A111" i="37"/>
  <c r="A112" i="37"/>
  <c r="A113" i="37"/>
  <c r="A114" i="37"/>
  <c r="A115" i="37"/>
  <c r="A117" i="37"/>
  <c r="A118" i="37"/>
  <c r="A119" i="37"/>
  <c r="A120" i="37"/>
  <c r="A121" i="37"/>
  <c r="A122" i="37"/>
  <c r="A124" i="37"/>
  <c r="A125" i="37"/>
  <c r="A126" i="37"/>
  <c r="A127" i="37"/>
  <c r="A128" i="37"/>
  <c r="A129" i="37"/>
  <c r="A130" i="37"/>
  <c r="A131" i="37"/>
  <c r="A133" i="37"/>
  <c r="A135" i="37"/>
  <c r="A136" i="37"/>
  <c r="A137" i="37"/>
  <c r="A138" i="37"/>
  <c r="A139" i="37"/>
  <c r="A140" i="37"/>
  <c r="A141" i="37"/>
  <c r="A142" i="37"/>
  <c r="A143" i="37"/>
  <c r="A146" i="37"/>
  <c r="A147" i="37"/>
  <c r="A148" i="37"/>
  <c r="A149" i="37"/>
  <c r="A150" i="37"/>
  <c r="A151" i="37"/>
  <c r="A152" i="37"/>
  <c r="A153" i="37"/>
  <c r="A154" i="37"/>
  <c r="A155" i="37"/>
  <c r="A156" i="37"/>
  <c r="A157" i="37"/>
  <c r="A158" i="37"/>
  <c r="A159" i="37"/>
  <c r="A160" i="37"/>
  <c r="A161" i="37"/>
  <c r="A162" i="37"/>
  <c r="A163" i="37"/>
  <c r="A164" i="37"/>
  <c r="A165" i="37"/>
  <c r="A166" i="37"/>
  <c r="A167" i="37"/>
  <c r="A168" i="37"/>
  <c r="A169" i="37"/>
  <c r="A170" i="37"/>
  <c r="A172" i="37"/>
  <c r="A173" i="37"/>
  <c r="A174" i="37"/>
  <c r="A175" i="37"/>
  <c r="A176" i="37"/>
  <c r="A178" i="37"/>
  <c r="A179" i="37"/>
  <c r="A180" i="37"/>
  <c r="A182" i="37"/>
  <c r="A183" i="37"/>
  <c r="A185" i="37"/>
  <c r="A187" i="37"/>
  <c r="A188" i="37"/>
  <c r="A190" i="37"/>
  <c r="A191" i="37"/>
  <c r="A193" i="37"/>
  <c r="A194" i="37"/>
  <c r="A195" i="37"/>
  <c r="A196" i="37"/>
  <c r="A197" i="37"/>
  <c r="A198" i="37"/>
  <c r="A199" i="37"/>
  <c r="A277" i="37"/>
  <c r="A278" i="37"/>
  <c r="D14" i="37"/>
  <c r="D191" i="37"/>
  <c r="E10" i="14"/>
  <c r="D205" i="37"/>
  <c r="D206" i="37"/>
  <c r="D209" i="37"/>
  <c r="D212" i="37"/>
  <c r="D213" i="37"/>
  <c r="D215" i="37"/>
  <c r="D218" i="37"/>
  <c r="D220" i="37"/>
  <c r="D223" i="37"/>
  <c r="D227" i="37"/>
  <c r="D231" i="37"/>
  <c r="D23" i="37"/>
  <c r="D10" i="37"/>
  <c r="D39" i="37"/>
  <c r="D18" i="37"/>
  <c r="D259" i="37"/>
  <c r="D248" i="37"/>
  <c r="D252" i="37"/>
  <c r="M17" i="8"/>
  <c r="B13" i="25"/>
  <c r="C13" i="25"/>
  <c r="D13" i="25"/>
  <c r="E9" i="25"/>
  <c r="E10" i="25"/>
  <c r="E11" i="25"/>
  <c r="E12" i="25"/>
  <c r="E13" i="25"/>
  <c r="E8" i="25"/>
  <c r="E7" i="25"/>
  <c r="C13" i="6"/>
  <c r="B44" i="17"/>
  <c r="C44" i="17"/>
  <c r="D44" i="17"/>
  <c r="D40" i="17"/>
  <c r="D41" i="17"/>
  <c r="D42" i="17"/>
  <c r="D43" i="17"/>
  <c r="D39" i="17"/>
  <c r="D38" i="17"/>
  <c r="D29" i="17"/>
  <c r="D30" i="17"/>
  <c r="D31" i="17"/>
  <c r="D32" i="17"/>
  <c r="D33" i="17"/>
  <c r="C34" i="17"/>
  <c r="D34" i="17"/>
  <c r="D28" i="17"/>
  <c r="D19" i="17"/>
  <c r="D20" i="17"/>
  <c r="D21" i="17"/>
  <c r="D22" i="17"/>
  <c r="D23" i="17"/>
  <c r="D18" i="17"/>
  <c r="D10" i="17"/>
  <c r="D11" i="17"/>
  <c r="D12" i="17"/>
  <c r="D13" i="17"/>
  <c r="D14" i="17"/>
  <c r="B15" i="17"/>
  <c r="C15" i="17"/>
  <c r="D15" i="17"/>
  <c r="D9" i="17"/>
  <c r="F8" i="10"/>
  <c r="F9" i="10"/>
  <c r="F10" i="10"/>
  <c r="F11" i="10"/>
  <c r="F12" i="10"/>
  <c r="F7" i="10"/>
  <c r="J13" i="10"/>
  <c r="H13" i="10"/>
  <c r="D13" i="10"/>
  <c r="E13" i="10"/>
  <c r="F13" i="10"/>
  <c r="C13" i="10"/>
  <c r="B13" i="10"/>
  <c r="D69" i="37"/>
  <c r="D70" i="37"/>
  <c r="D65" i="37"/>
  <c r="D66" i="37"/>
  <c r="D61" i="37"/>
  <c r="D62" i="37"/>
  <c r="D72" i="37"/>
  <c r="D78" i="37"/>
  <c r="D79" i="37"/>
  <c r="D33" i="44"/>
  <c r="H33" i="44"/>
  <c r="H57" i="44"/>
  <c r="D127" i="37"/>
  <c r="D128" i="37"/>
  <c r="D129" i="37"/>
  <c r="D131" i="37"/>
  <c r="C23" i="27"/>
  <c r="G23" i="27"/>
  <c r="D201" i="37"/>
  <c r="D267" i="37"/>
  <c r="D200" i="37"/>
  <c r="D180" i="37"/>
  <c r="D179" i="37"/>
  <c r="D159" i="37"/>
  <c r="D160" i="37"/>
  <c r="D161" i="37"/>
  <c r="D162" i="37"/>
  <c r="D169" i="37"/>
  <c r="D157" i="37"/>
  <c r="D150" i="37"/>
  <c r="D151" i="37"/>
  <c r="D120" i="37"/>
  <c r="D104" i="37"/>
  <c r="D105" i="37"/>
  <c r="D107" i="37"/>
  <c r="D108" i="37"/>
  <c r="D109" i="37"/>
  <c r="D110" i="37"/>
  <c r="D113" i="37"/>
  <c r="D114" i="37"/>
  <c r="D115" i="37"/>
  <c r="C53" i="44"/>
  <c r="C54" i="44"/>
  <c r="C55" i="44"/>
  <c r="C56" i="44"/>
  <c r="C57" i="44"/>
  <c r="C58" i="44"/>
  <c r="C59" i="44"/>
  <c r="C63" i="44"/>
  <c r="D17" i="44"/>
  <c r="H17" i="44"/>
  <c r="D18" i="44"/>
  <c r="H18" i="44"/>
  <c r="D19" i="44"/>
  <c r="H19" i="44"/>
  <c r="D20" i="44"/>
  <c r="H20" i="44"/>
  <c r="H53" i="44"/>
  <c r="D21" i="44"/>
  <c r="H21" i="44"/>
  <c r="H54" i="44"/>
  <c r="D22" i="44"/>
  <c r="H22" i="44"/>
  <c r="H55" i="44"/>
  <c r="D23" i="44"/>
  <c r="H23" i="44"/>
  <c r="D24" i="44"/>
  <c r="H24" i="44"/>
  <c r="D25" i="44"/>
  <c r="H25" i="44"/>
  <c r="D26" i="44"/>
  <c r="H26" i="44"/>
  <c r="D27" i="44"/>
  <c r="H27" i="44"/>
  <c r="D28" i="44"/>
  <c r="H28" i="44"/>
  <c r="H56" i="44"/>
  <c r="D29" i="44"/>
  <c r="H29" i="44"/>
  <c r="D30" i="44"/>
  <c r="H30" i="44"/>
  <c r="D32" i="44"/>
  <c r="H32" i="44"/>
  <c r="H34" i="44"/>
  <c r="D35" i="44"/>
  <c r="H35" i="44"/>
  <c r="D36" i="44"/>
  <c r="H36" i="44"/>
  <c r="D37" i="44"/>
  <c r="H37" i="44"/>
  <c r="H58" i="44"/>
  <c r="D38" i="44"/>
  <c r="H38" i="44"/>
  <c r="H59" i="44"/>
  <c r="D39" i="44"/>
  <c r="H39" i="44"/>
  <c r="D40" i="44"/>
  <c r="H40" i="44"/>
  <c r="D41" i="44"/>
  <c r="H41" i="44"/>
  <c r="H42" i="44"/>
  <c r="D43" i="44"/>
  <c r="H43" i="44"/>
  <c r="D44" i="44"/>
  <c r="H44" i="44"/>
  <c r="D45" i="44"/>
  <c r="H45" i="44"/>
  <c r="D46" i="44"/>
  <c r="H46" i="44"/>
  <c r="D47" i="44"/>
  <c r="H47" i="44"/>
  <c r="D48" i="44"/>
  <c r="H48" i="44"/>
  <c r="D49" i="44"/>
  <c r="H49" i="44"/>
  <c r="H60" i="44"/>
  <c r="H61" i="44"/>
  <c r="F53" i="44"/>
  <c r="F54" i="44"/>
  <c r="F55" i="44"/>
  <c r="F56" i="44"/>
  <c r="F57" i="44"/>
  <c r="F58" i="44"/>
  <c r="F59" i="44"/>
  <c r="F60" i="44"/>
  <c r="F61" i="44"/>
  <c r="D53" i="44"/>
  <c r="D54" i="44"/>
  <c r="D55" i="44"/>
  <c r="D56" i="44"/>
  <c r="D57" i="44"/>
  <c r="D58" i="44"/>
  <c r="D59" i="44"/>
  <c r="D60" i="44"/>
  <c r="D61" i="44"/>
  <c r="C60" i="44"/>
  <c r="C61" i="44"/>
  <c r="B53" i="44"/>
  <c r="B54" i="44"/>
  <c r="B55" i="44"/>
  <c r="B56" i="44"/>
  <c r="B57" i="44"/>
  <c r="B58" i="44"/>
  <c r="B59" i="44"/>
  <c r="B60" i="44"/>
  <c r="B61" i="44"/>
  <c r="A61" i="44"/>
  <c r="H50" i="44"/>
  <c r="F50" i="44"/>
  <c r="D50" i="44"/>
  <c r="C50" i="44"/>
  <c r="B50" i="44"/>
  <c r="M13" i="6"/>
  <c r="L13" i="6"/>
  <c r="K13" i="6"/>
  <c r="J13" i="6"/>
  <c r="I13" i="6"/>
  <c r="H13" i="6"/>
  <c r="G13" i="6"/>
  <c r="F13" i="6"/>
  <c r="E13" i="6"/>
  <c r="D13" i="6"/>
  <c r="B13" i="6"/>
  <c r="H30" i="27"/>
  <c r="I30" i="27"/>
  <c r="F22" i="24"/>
  <c r="F17" i="24"/>
  <c r="F12" i="24"/>
  <c r="F24" i="24"/>
  <c r="E22" i="24"/>
  <c r="E17" i="24"/>
  <c r="E24" i="24"/>
  <c r="A2" i="40"/>
  <c r="E18" i="9"/>
  <c r="E15" i="9"/>
  <c r="F63" i="40"/>
  <c r="F66" i="40"/>
  <c r="F68" i="40"/>
  <c r="F12" i="40"/>
  <c r="F13" i="40"/>
  <c r="F73" i="40"/>
  <c r="F17" i="40"/>
  <c r="F83" i="40"/>
  <c r="F19" i="40"/>
  <c r="F109" i="40"/>
  <c r="F23" i="40"/>
  <c r="F116" i="40"/>
  <c r="F24" i="40"/>
  <c r="F122" i="40"/>
  <c r="F26" i="40"/>
  <c r="F127" i="40"/>
  <c r="F27" i="40"/>
  <c r="F131" i="40"/>
  <c r="F28" i="40"/>
  <c r="F134" i="40"/>
  <c r="F29" i="40"/>
  <c r="F30" i="40"/>
  <c r="F31" i="40"/>
  <c r="F140" i="40"/>
  <c r="F33" i="40"/>
  <c r="F150" i="40"/>
  <c r="F35" i="40"/>
  <c r="F156" i="40"/>
  <c r="F36" i="40"/>
  <c r="F37" i="40"/>
  <c r="F39" i="40"/>
  <c r="F166" i="40"/>
  <c r="F41" i="40"/>
  <c r="F42" i="40"/>
  <c r="F43" i="40"/>
  <c r="F185" i="40"/>
  <c r="F45" i="40"/>
  <c r="F196" i="40"/>
  <c r="F46" i="40"/>
  <c r="F211" i="40"/>
  <c r="F47" i="40"/>
  <c r="F48" i="40"/>
  <c r="F229" i="40"/>
  <c r="F49" i="40"/>
  <c r="F241" i="40"/>
  <c r="F50" i="40"/>
  <c r="F51" i="40"/>
  <c r="F250" i="40"/>
  <c r="F52" i="40"/>
  <c r="F255" i="40"/>
  <c r="F53" i="40"/>
  <c r="F54" i="40"/>
  <c r="F260" i="40"/>
  <c r="F55" i="40"/>
  <c r="F56" i="40"/>
  <c r="F57" i="40"/>
  <c r="F59" i="40"/>
  <c r="E63" i="40"/>
  <c r="E66" i="40"/>
  <c r="E68" i="40"/>
  <c r="E12" i="40"/>
  <c r="E13" i="40"/>
  <c r="E73" i="40"/>
  <c r="E17" i="40"/>
  <c r="E83" i="40"/>
  <c r="E19" i="40"/>
  <c r="E109" i="40"/>
  <c r="E23" i="40"/>
  <c r="E116" i="40"/>
  <c r="E24" i="40"/>
  <c r="E122" i="40"/>
  <c r="E26" i="40"/>
  <c r="E127" i="40"/>
  <c r="E27" i="40"/>
  <c r="E131" i="40"/>
  <c r="E28" i="40"/>
  <c r="E134" i="40"/>
  <c r="E29" i="40"/>
  <c r="E30" i="40"/>
  <c r="E31" i="40"/>
  <c r="E140" i="40"/>
  <c r="E33" i="40"/>
  <c r="E150" i="40"/>
  <c r="E35" i="40"/>
  <c r="E156" i="40"/>
  <c r="E36" i="40"/>
  <c r="E37" i="40"/>
  <c r="E39" i="40"/>
  <c r="E166" i="40"/>
  <c r="E41" i="40"/>
  <c r="E42" i="40"/>
  <c r="E43" i="40"/>
  <c r="E185" i="40"/>
  <c r="E45" i="40"/>
  <c r="E196" i="40"/>
  <c r="E46" i="40"/>
  <c r="E211" i="40"/>
  <c r="E47" i="40"/>
  <c r="E48" i="40"/>
  <c r="E229" i="40"/>
  <c r="E49" i="40"/>
  <c r="E241" i="40"/>
  <c r="E50" i="40"/>
  <c r="E51" i="40"/>
  <c r="E250" i="40"/>
  <c r="E52" i="40"/>
  <c r="E255" i="40"/>
  <c r="E53" i="40"/>
  <c r="E54" i="40"/>
  <c r="E260" i="40"/>
  <c r="E55" i="40"/>
  <c r="E56" i="40"/>
  <c r="E57" i="40"/>
  <c r="E59" i="40"/>
  <c r="F268" i="40"/>
  <c r="D54" i="40"/>
  <c r="D42" i="40"/>
  <c r="D63" i="40"/>
  <c r="D66" i="40"/>
  <c r="D68" i="40"/>
  <c r="D12" i="40"/>
  <c r="D109" i="40"/>
  <c r="D23" i="40"/>
  <c r="D116" i="40"/>
  <c r="D24" i="40"/>
  <c r="D122" i="40"/>
  <c r="D26" i="40"/>
  <c r="D127" i="40"/>
  <c r="D27" i="40"/>
  <c r="D131" i="40"/>
  <c r="D28" i="40"/>
  <c r="D134" i="40"/>
  <c r="D29" i="40"/>
  <c r="D30" i="40"/>
  <c r="D31" i="40"/>
  <c r="D140" i="40"/>
  <c r="D33" i="40"/>
  <c r="D150" i="40"/>
  <c r="D35" i="40"/>
  <c r="D156" i="40"/>
  <c r="D36" i="40"/>
  <c r="D37" i="40"/>
  <c r="D39" i="40"/>
  <c r="D166" i="40"/>
  <c r="D41" i="40"/>
  <c r="D43" i="40"/>
  <c r="D185" i="40"/>
  <c r="D45" i="40"/>
  <c r="D196" i="40"/>
  <c r="D46" i="40"/>
  <c r="D211" i="40"/>
  <c r="D47" i="40"/>
  <c r="D48" i="40"/>
  <c r="D229" i="40"/>
  <c r="D49" i="40"/>
  <c r="D241" i="40"/>
  <c r="D50" i="40"/>
  <c r="D51" i="40"/>
  <c r="D250" i="40"/>
  <c r="D52" i="40"/>
  <c r="D255" i="40"/>
  <c r="D53" i="40"/>
  <c r="D260" i="40"/>
  <c r="D55" i="40"/>
  <c r="D56" i="40"/>
  <c r="D57" i="40"/>
  <c r="D13" i="40"/>
  <c r="D73" i="40"/>
  <c r="D17" i="40"/>
  <c r="D83" i="40"/>
  <c r="D19" i="40"/>
  <c r="D59" i="40"/>
  <c r="D268" i="40"/>
  <c r="E268" i="40"/>
  <c r="A279" i="37"/>
  <c r="A281" i="37"/>
  <c r="A282" i="37"/>
  <c r="A283" i="37"/>
  <c r="A284" i="37"/>
  <c r="A285" i="37"/>
  <c r="A286" i="37"/>
  <c r="A287" i="37"/>
  <c r="A288" i="37"/>
  <c r="A290" i="37"/>
  <c r="A291" i="37"/>
  <c r="A292" i="37"/>
  <c r="A293" i="37"/>
  <c r="A295" i="37"/>
  <c r="A296" i="37"/>
  <c r="A297" i="37"/>
  <c r="C259" i="37"/>
  <c r="C248" i="37"/>
  <c r="D233" i="37"/>
  <c r="C233" i="37"/>
  <c r="C231" i="37"/>
  <c r="C220" i="37"/>
  <c r="C215" i="37"/>
  <c r="C209" i="37"/>
  <c r="C200" i="37"/>
  <c r="C169" i="37"/>
  <c r="C157" i="37"/>
  <c r="C151" i="37"/>
  <c r="C131" i="37"/>
  <c r="C129" i="37"/>
  <c r="C120" i="37"/>
  <c r="C115" i="37"/>
  <c r="C114" i="37"/>
  <c r="C110" i="37"/>
  <c r="C109" i="37"/>
  <c r="C105" i="37"/>
  <c r="D93" i="37"/>
  <c r="C93" i="37"/>
  <c r="C70" i="37"/>
  <c r="C66" i="37"/>
  <c r="C62" i="37"/>
  <c r="D43" i="37"/>
  <c r="D47" i="37"/>
  <c r="D52" i="37"/>
  <c r="D55" i="37"/>
  <c r="C55" i="37"/>
  <c r="C52" i="37"/>
  <c r="C47" i="37"/>
  <c r="C43" i="37"/>
  <c r="C39" i="37"/>
  <c r="C26" i="37"/>
  <c r="C23" i="37"/>
  <c r="C18" i="37"/>
  <c r="C14" i="37"/>
  <c r="C10" i="37"/>
  <c r="G24" i="24"/>
  <c r="D24" i="17"/>
  <c r="B24" i="17"/>
  <c r="E20" i="9"/>
  <c r="E21" i="9"/>
  <c r="E22" i="9"/>
  <c r="K17" i="8"/>
  <c r="I17" i="8"/>
  <c r="G17" i="8"/>
  <c r="E17" i="8"/>
  <c r="C17" i="8"/>
  <c r="G16" i="7"/>
  <c r="F16" i="7"/>
  <c r="E16" i="7"/>
  <c r="D16" i="7"/>
  <c r="C16" i="7"/>
  <c r="B16" i="7"/>
  <c r="H38" i="27"/>
  <c r="H40" i="27"/>
  <c r="H33" i="27"/>
  <c r="H35" i="27"/>
  <c r="G30" i="27"/>
  <c r="F30" i="27"/>
  <c r="J30" i="27"/>
  <c r="I33" i="27"/>
  <c r="I35" i="27"/>
  <c r="I38" i="27"/>
  <c r="I40" i="27"/>
  <c r="E30" i="27"/>
  <c r="E38" i="27"/>
  <c r="E33" i="27"/>
  <c r="K30" i="27"/>
  <c r="F38" i="27"/>
  <c r="F40" i="27"/>
  <c r="F33" i="27"/>
  <c r="F35" i="27"/>
  <c r="G38" i="27"/>
  <c r="G40" i="27"/>
  <c r="G33" i="27"/>
  <c r="G35" i="27"/>
  <c r="J38" i="27"/>
  <c r="J40" i="27"/>
  <c r="J33" i="27"/>
  <c r="J35" i="27"/>
  <c r="E35" i="27"/>
  <c r="K33" i="27"/>
  <c r="K38" i="27"/>
  <c r="E40" i="27"/>
  <c r="K40" i="27"/>
  <c r="D297" i="37"/>
  <c r="K35" i="27"/>
  <c r="D296" i="37"/>
</calcChain>
</file>

<file path=xl/sharedStrings.xml><?xml version="1.0" encoding="utf-8"?>
<sst xmlns="http://schemas.openxmlformats.org/spreadsheetml/2006/main" count="1252" uniqueCount="779">
  <si>
    <t>Entergy Arkansas, Inc.</t>
  </si>
  <si>
    <t>Analysis of Account 456 - Other Electric Revenue</t>
  </si>
  <si>
    <t>456104 - Cwl Transmission Revenue</t>
  </si>
  <si>
    <t>456111 - Non-Firm Transmission Revenue</t>
  </si>
  <si>
    <t>456112 - Short Term Firm Transm Revenue</t>
  </si>
  <si>
    <t>456113 - Long Term Firm Transm Revenue</t>
  </si>
  <si>
    <t>456102 - Gia Annual Fees</t>
  </si>
  <si>
    <t>456108 - Schdlg Syst Control &amp; Dispatch</t>
  </si>
  <si>
    <t>456127 - RTO &amp; ICT Operations Costs Rec</t>
  </si>
  <si>
    <t>4561FR - FFR Transm Revenue</t>
  </si>
  <si>
    <t>456117 - Reg &amp; Freq Response Trans Rev</t>
  </si>
  <si>
    <t>456118 - Spinning Reserve Ptp Tran Rev</t>
  </si>
  <si>
    <t>456119 - Suppl Reserve Ptp Tran Rev</t>
  </si>
  <si>
    <t>Total per Book 456.1 Account</t>
  </si>
  <si>
    <t>(1)</t>
  </si>
  <si>
    <t>Note:</t>
  </si>
  <si>
    <t>YEAR</t>
  </si>
  <si>
    <t>MONTH</t>
  </si>
  <si>
    <t>DAY</t>
  </si>
  <si>
    <t>HOUR</t>
  </si>
  <si>
    <t xml:space="preserve">EAI  </t>
  </si>
  <si>
    <t>AECC</t>
  </si>
  <si>
    <t>JONESBORO-INCREMENTALLY PRICED</t>
  </si>
  <si>
    <t>DENL - NITS</t>
  </si>
  <si>
    <t>CNWY - NITS</t>
  </si>
  <si>
    <t>WMUC - NITS</t>
  </si>
  <si>
    <t>PRESCOTT - NITS</t>
  </si>
  <si>
    <t>BENTON  -  NITS</t>
  </si>
  <si>
    <t>AMEREN - NITS</t>
  </si>
  <si>
    <t>MJMEUC (THAYER) - NITS</t>
  </si>
  <si>
    <t>OSCEOLA - NITS</t>
  </si>
  <si>
    <t>Data Source</t>
  </si>
  <si>
    <t>A</t>
  </si>
  <si>
    <t>H</t>
  </si>
  <si>
    <t>ENTERGY ARKANSAS, INC.</t>
  </si>
  <si>
    <t>PLANT IN SERVICE</t>
  </si>
  <si>
    <t>DESCRIPTION</t>
  </si>
  <si>
    <t xml:space="preserve">  STEP-UP FACILITIES</t>
  </si>
  <si>
    <t xml:space="preserve">  OTHER TRANS.</t>
  </si>
  <si>
    <t>TRANSMISSION</t>
  </si>
  <si>
    <t>TOTAL</t>
  </si>
  <si>
    <t>Entergy Services Inc.</t>
  </si>
  <si>
    <t>Land Held for Future Use</t>
  </si>
  <si>
    <t>EAI</t>
  </si>
  <si>
    <t>EGSL</t>
  </si>
  <si>
    <t>ELL</t>
  </si>
  <si>
    <t>EMI</t>
  </si>
  <si>
    <t>ENO</t>
  </si>
  <si>
    <t>ETI</t>
  </si>
  <si>
    <t>Steam Production</t>
  </si>
  <si>
    <t>Nuclear Production</t>
  </si>
  <si>
    <t>Hydraulic Production</t>
  </si>
  <si>
    <t>Transmission</t>
  </si>
  <si>
    <t>Distribution</t>
  </si>
  <si>
    <t>RTMO</t>
  </si>
  <si>
    <t>General</t>
  </si>
  <si>
    <t>Total</t>
  </si>
  <si>
    <t>(1) Ties to Form 1 Pg 214.47.d</t>
  </si>
  <si>
    <t>Entergy Services, Inc.</t>
  </si>
  <si>
    <t>Taxes Other Charged By Affiliates</t>
  </si>
  <si>
    <t>In Accordance With FERC Form I  - Page 263</t>
  </si>
  <si>
    <t>Description</t>
  </si>
  <si>
    <t>408110 - Employment Taxes</t>
  </si>
  <si>
    <t>408122- Excise Tax State</t>
  </si>
  <si>
    <t>408123- Excise Tax Federal</t>
  </si>
  <si>
    <t>408142 - Ad Valorem</t>
  </si>
  <si>
    <t>408152 - Franchise Tax - State</t>
  </si>
  <si>
    <t>408165 - City Occupation Tax</t>
  </si>
  <si>
    <t>Totals</t>
  </si>
  <si>
    <t>Total 283 FAS 109 Offset</t>
  </si>
  <si>
    <t>Total 282 FAS 109 Offset</t>
  </si>
  <si>
    <t>Total 190 FAS 109 Offset</t>
  </si>
  <si>
    <t>Offset Total</t>
  </si>
  <si>
    <t>Reg Liability-Fas 109-Federal</t>
  </si>
  <si>
    <t>254301</t>
  </si>
  <si>
    <t>Reg Assets - Fas109 - Federal</t>
  </si>
  <si>
    <t>182301</t>
  </si>
  <si>
    <t>Offset</t>
  </si>
  <si>
    <t>ADIT Total</t>
  </si>
  <si>
    <t>Fas 109 Adjustment - State</t>
  </si>
  <si>
    <t>283702</t>
  </si>
  <si>
    <t>Fas 109 Adjustment - Fed</t>
  </si>
  <si>
    <t>283701</t>
  </si>
  <si>
    <t>282702</t>
  </si>
  <si>
    <t>282701</t>
  </si>
  <si>
    <t>190702</t>
  </si>
  <si>
    <t>190701</t>
  </si>
  <si>
    <t>ADIT</t>
  </si>
  <si>
    <t>A0000</t>
  </si>
  <si>
    <t>Account Desc</t>
  </si>
  <si>
    <t>Account</t>
  </si>
  <si>
    <t>Type</t>
  </si>
  <si>
    <t>Business Unit</t>
  </si>
  <si>
    <t>ADIT- Fas 109 Offset</t>
  </si>
  <si>
    <t>Account 454000</t>
  </si>
  <si>
    <t>Account 454100</t>
  </si>
  <si>
    <t>Generation</t>
  </si>
  <si>
    <t>General Plant</t>
  </si>
  <si>
    <t>Account 454</t>
  </si>
  <si>
    <t>(1) Ties to Form 1 Pg 300.19.b</t>
  </si>
  <si>
    <t>CLECO, ETEC and LAGEN</t>
  </si>
  <si>
    <t>Statutory State Corporate Income Tax Rate</t>
  </si>
  <si>
    <t>Federal</t>
  </si>
  <si>
    <t>State</t>
  </si>
  <si>
    <t>Arkansas</t>
  </si>
  <si>
    <t>Louisiana</t>
  </si>
  <si>
    <t>**</t>
  </si>
  <si>
    <t>Mississippi</t>
  </si>
  <si>
    <t>Texas</t>
  </si>
  <si>
    <t>** Federal income tax deductible for state taxable income.</t>
  </si>
  <si>
    <t xml:space="preserve">Supplemental Upgrade </t>
  </si>
  <si>
    <t>Revenue Requirement</t>
  </si>
  <si>
    <t>ENOI</t>
  </si>
  <si>
    <t>Plant in Service</t>
  </si>
  <si>
    <t>Accumulated Depreciation</t>
  </si>
  <si>
    <t>Net Plant</t>
  </si>
  <si>
    <t>TP</t>
  </si>
  <si>
    <t>Allocated Net Plant</t>
  </si>
  <si>
    <t>NP</t>
  </si>
  <si>
    <t>Allocated ADIT</t>
  </si>
  <si>
    <t>Rate Base</t>
  </si>
  <si>
    <t>Rate of Return</t>
  </si>
  <si>
    <t>Return</t>
  </si>
  <si>
    <t>CIT</t>
  </si>
  <si>
    <t>Income Taxes</t>
  </si>
  <si>
    <t>Allocated Depr Expense</t>
  </si>
  <si>
    <t>ENTERGY SERVICES, INC.</t>
  </si>
  <si>
    <t>($)</t>
  </si>
  <si>
    <t>Net of Excess ADIT</t>
  </si>
  <si>
    <t>Regulatory Asset Before Gross-up</t>
  </si>
  <si>
    <t>Change in Regulatory Asset</t>
  </si>
  <si>
    <t>EGSLA</t>
  </si>
  <si>
    <t>Tax Rate</t>
  </si>
  <si>
    <t>Originating Regulatory Asset</t>
  </si>
  <si>
    <t>Excess ADIT at</t>
  </si>
  <si>
    <t>Amortization of Excess ADIT</t>
  </si>
  <si>
    <t>Regulatory Asset Without CY Equity AFUDC</t>
  </si>
  <si>
    <t>Amortization of Permanent Difference</t>
  </si>
  <si>
    <t>(Ln1 + Ln2)</t>
  </si>
  <si>
    <t>(Ln5 + Ln8)</t>
  </si>
  <si>
    <t>Ln</t>
  </si>
  <si>
    <t>(2)</t>
  </si>
  <si>
    <t>PLANT BALANCES (End of Month)</t>
  </si>
  <si>
    <t>TOTAL PLANT BALANCES</t>
  </si>
  <si>
    <t>ACCUM DEPR BALANCES (End of Month)</t>
  </si>
  <si>
    <t>TOTAL ACCUM DEPR BALANCES</t>
  </si>
  <si>
    <t>SUPPLEMENTAL TRANSMISSION PROJECTS</t>
  </si>
  <si>
    <t>EPRI Research</t>
  </si>
  <si>
    <t>Sum of Monetary Amt</t>
  </si>
  <si>
    <t>GL Business Unit</t>
  </si>
  <si>
    <t>Source Resource</t>
  </si>
  <si>
    <t>Source Resource Desc</t>
  </si>
  <si>
    <t>Project Desc</t>
  </si>
  <si>
    <t>506000</t>
  </si>
  <si>
    <t>923000</t>
  </si>
  <si>
    <t>Total (1)</t>
  </si>
  <si>
    <t>249</t>
  </si>
  <si>
    <t>Other Outside Contract Service</t>
  </si>
  <si>
    <t>CORPORATE ENVIRONMENTAL POLICY</t>
  </si>
  <si>
    <t>ENVIRONMENTAL SERVICES ADMINISTRATI</t>
  </si>
  <si>
    <t>249 Total</t>
  </si>
  <si>
    <t>386</t>
  </si>
  <si>
    <t>Other Contract Work</t>
  </si>
  <si>
    <t>386 Total</t>
  </si>
  <si>
    <t>568</t>
  </si>
  <si>
    <t>Dues-Company Memberships</t>
  </si>
  <si>
    <t>568 Total</t>
  </si>
  <si>
    <t>A0000 Total</t>
  </si>
  <si>
    <t>(Ln3 * Ln4)</t>
  </si>
  <si>
    <t>(Ln6 * Ln7)</t>
  </si>
  <si>
    <t>(Ln9 * Ln10)</t>
  </si>
  <si>
    <t>(Ln11 * Ln12)</t>
  </si>
  <si>
    <t>(Ln14 * Ln15)</t>
  </si>
  <si>
    <t>(Ln11 + Ln13 + Ln16)</t>
  </si>
  <si>
    <t>ETEC (ETI)</t>
  </si>
  <si>
    <t>LAGEN (EGSL)</t>
  </si>
  <si>
    <t>TOTAL OpCo</t>
  </si>
  <si>
    <t>TOTAL Cust</t>
  </si>
  <si>
    <t>O</t>
  </si>
  <si>
    <t>Transmission Plant in Service</t>
  </si>
  <si>
    <t>Generator Step-up Facilities</t>
  </si>
  <si>
    <t>Net</t>
  </si>
  <si>
    <t>Ratio</t>
  </si>
  <si>
    <t>Schedule 1 Charges associated with Non-Firm TSRs</t>
  </si>
  <si>
    <t>Schedule 1 Charges associated with Short Term Firm TSRs</t>
  </si>
  <si>
    <t>Schedule 1 Charges Associated with Short Term Firm TSRs</t>
  </si>
  <si>
    <t>Schedule 1 Revenues</t>
  </si>
  <si>
    <t>MISO</t>
  </si>
  <si>
    <t>Expenses</t>
  </si>
  <si>
    <t>RTO/MISO Start-up Costs</t>
  </si>
  <si>
    <t>Nonpayroll</t>
  </si>
  <si>
    <t>Payroll</t>
  </si>
  <si>
    <t>Deferred</t>
  </si>
  <si>
    <t>Costs</t>
  </si>
  <si>
    <t>Amounts</t>
  </si>
  <si>
    <t>Adjustment</t>
  </si>
  <si>
    <t>4031AM</t>
  </si>
  <si>
    <t>Grand Total</t>
  </si>
  <si>
    <t>Summary</t>
  </si>
  <si>
    <t>Payroll Taxes</t>
  </si>
  <si>
    <t>Prod O&amp;M</t>
  </si>
  <si>
    <t>Trans O&amp;M</t>
  </si>
  <si>
    <t>Customer Accounts</t>
  </si>
  <si>
    <t>Customer Services</t>
  </si>
  <si>
    <t>A&amp;G Expenses</t>
  </si>
  <si>
    <t>Service Co Depr Exp</t>
  </si>
  <si>
    <t>Payroll O&amp;M Excl A&amp;G</t>
  </si>
  <si>
    <t>Account and Desc</t>
  </si>
  <si>
    <t>Project</t>
  </si>
  <si>
    <t>Non-Payroll</t>
  </si>
  <si>
    <t>Other Expenses (A/C 419100 - 432000)</t>
  </si>
  <si>
    <t>4031AM - Deprec Exp billed from Serv Co Total</t>
  </si>
  <si>
    <t>408110 - Employment Taxes Total</t>
  </si>
  <si>
    <t>O&amp;M Expenses</t>
  </si>
  <si>
    <t>Production O&amp;M</t>
  </si>
  <si>
    <t>561.5 - Syst plan &amp; standards devlpmnt</t>
  </si>
  <si>
    <t>566 - Misc. Transmission Expenses Total</t>
  </si>
  <si>
    <t>568 - Maint. Supervision &amp; Engineer</t>
  </si>
  <si>
    <t>570 - Maint. Of Station Equipment</t>
  </si>
  <si>
    <t>Regional &amp; Marketing O&amp;M</t>
  </si>
  <si>
    <t>Distribution O&amp;M</t>
  </si>
  <si>
    <t>Customer Services Expenses</t>
  </si>
  <si>
    <t>Total O&amp;M Expenses Excluding A&amp;G</t>
  </si>
  <si>
    <t>Administrative &amp; General Expenses</t>
  </si>
  <si>
    <t>920 - Adm &amp; General Salaries Total</t>
  </si>
  <si>
    <t>921 - Office Supplies And Expenses</t>
  </si>
  <si>
    <t>923 - Outside Services Employed Total</t>
  </si>
  <si>
    <t>925 - Injuries &amp; Damages Expense Total</t>
  </si>
  <si>
    <t>926 - Employee Pension &amp; Benefits</t>
  </si>
  <si>
    <t>928 - Regulatory Commission Expense Total</t>
  </si>
  <si>
    <t>930.1 - General Advertising Expenses</t>
  </si>
  <si>
    <t>930.2 - Active Development Expenses Total</t>
  </si>
  <si>
    <t>935 - Maintenance Of General Plant</t>
  </si>
  <si>
    <t>Total Administrative &amp; General Expenses</t>
  </si>
  <si>
    <t>Total O&amp;M Expenses</t>
  </si>
  <si>
    <t>107000 - Constr. Work In Progress</t>
  </si>
  <si>
    <t>F5PPTRAPMO</t>
  </si>
  <si>
    <t>163000 - Stores Expenses Undistributed</t>
  </si>
  <si>
    <t>184001 - Operations  Vehicle</t>
  </si>
  <si>
    <t>F3PPTRAIMP</t>
  </si>
  <si>
    <t>4031AM - Deprec Exp billed from Serv Co</t>
  </si>
  <si>
    <t>F3PP1TRALA</t>
  </si>
  <si>
    <t>F3PPTRAEAI</t>
  </si>
  <si>
    <t>F3PPTRAEMI</t>
  </si>
  <si>
    <t>F3PPTRAENO</t>
  </si>
  <si>
    <t>F3PPTRAETI</t>
  </si>
  <si>
    <t>F5PPTRAFIN</t>
  </si>
  <si>
    <t>F5PPTRAREG</t>
  </si>
  <si>
    <t>E1PPTIPEAI</t>
  </si>
  <si>
    <t>E1PPTIPELL</t>
  </si>
  <si>
    <t>E1PPTIPETI</t>
  </si>
  <si>
    <t>419100 - Afudc - Other Funds</t>
  </si>
  <si>
    <t>426400 - Exp-Civic,Political &amp; Rel Act</t>
  </si>
  <si>
    <t>426500 - Other Deductions</t>
  </si>
  <si>
    <t>432000 - Afudc -Borrowed Funds - Cr.</t>
  </si>
  <si>
    <t>500000 - Oper Supervision &amp; Engineerin</t>
  </si>
  <si>
    <t>506000 - Misc Steam Power Expenses</t>
  </si>
  <si>
    <t>E1PPTIPEGS</t>
  </si>
  <si>
    <t>514000 - Maintenance Of Misc Steam Plt</t>
  </si>
  <si>
    <t>517000 - Operation, Supervision &amp; Engr</t>
  </si>
  <si>
    <t>549000 - Misc Oth Pwr Generation Exps</t>
  </si>
  <si>
    <t>554000 - Maint-Misc Other Pwr Gen Plt</t>
  </si>
  <si>
    <t>560000 - Oper Super &amp; Engineering</t>
  </si>
  <si>
    <t>566000 - Misc. Transmission Expenses</t>
  </si>
  <si>
    <t>568000 - Maint. Supervision &amp; Engineer</t>
  </si>
  <si>
    <t>569000 - Maintenance Of Structures</t>
  </si>
  <si>
    <t>580000 - Operation Supervision&amp;Enginee</t>
  </si>
  <si>
    <t>592000 - Maint. Of Station Equipment</t>
  </si>
  <si>
    <t>910000 - Misc Cust Ser &amp;Information Ex</t>
  </si>
  <si>
    <t>920000 - Adm &amp; General Salaries</t>
  </si>
  <si>
    <t>921000 - Office Supplies And Expenses</t>
  </si>
  <si>
    <t>E1PPTIPEMI</t>
  </si>
  <si>
    <t>923000 - Outside Services Employed</t>
  </si>
  <si>
    <t>925000 - Injuries &amp; Damages Expense</t>
  </si>
  <si>
    <t>926000 - Employee Pension &amp; Benefits</t>
  </si>
  <si>
    <t>928000 - Regulatory Commission Expense</t>
  </si>
  <si>
    <t>930100 - General Advertising Expenses</t>
  </si>
  <si>
    <t>930200 - Miscellaneous General Expense</t>
  </si>
  <si>
    <t>930201 - Active Development Expenses</t>
  </si>
  <si>
    <t>935000 - Maintenance Of General Plant</t>
  </si>
  <si>
    <t>Total ITC Costs</t>
  </si>
  <si>
    <t>Attachment O</t>
  </si>
  <si>
    <t>Total Transmission O&amp;M</t>
  </si>
  <si>
    <t>Summary of ITC Costs Charged to Operating Company To Be Excluded</t>
  </si>
  <si>
    <t>500 - Oper Supervision &amp; Engineerin</t>
  </si>
  <si>
    <t>506 - Misc Steam Power Expenses</t>
  </si>
  <si>
    <t>511 - Maintenance Of Structures Total</t>
  </si>
  <si>
    <t>514 - Maintenance Of Misc Steam Plt</t>
  </si>
  <si>
    <t>517 - Operation, Supervision &amp; Engr Total</t>
  </si>
  <si>
    <t>549 - Misc Oth Pwr Generation Exps</t>
  </si>
  <si>
    <t>554 - Maint-Misc Other Pwr Gen Plt</t>
  </si>
  <si>
    <t>Total Production O&amp;M</t>
  </si>
  <si>
    <t>Transmission O&amp;M</t>
  </si>
  <si>
    <t>560 - Oper Super &amp; Engineering Total</t>
  </si>
  <si>
    <t>569 - Maintenance Of Structures Total</t>
  </si>
  <si>
    <t>ATTACHMENT O</t>
  </si>
  <si>
    <t>ITC TRANSACTION COSTS</t>
  </si>
  <si>
    <t>TOTAL ELECTRIC</t>
  </si>
  <si>
    <t>Ln #</t>
  </si>
  <si>
    <t>FF1 Page Number</t>
  </si>
  <si>
    <t>Entergy Arkansas, Inc. (EAI)</t>
  </si>
  <si>
    <t xml:space="preserve">Gross Plant In Service </t>
  </si>
  <si>
    <t>Production</t>
  </si>
  <si>
    <t>205.46.g</t>
  </si>
  <si>
    <t>Less ARO Steam</t>
  </si>
  <si>
    <t>205.15.g</t>
  </si>
  <si>
    <t>Less ARO Nuclear</t>
  </si>
  <si>
    <t>205.24.g</t>
  </si>
  <si>
    <t>Less ARO Hydraulic</t>
  </si>
  <si>
    <t>205.34.g</t>
  </si>
  <si>
    <t>Less ARO Other</t>
  </si>
  <si>
    <t>205.44.g</t>
  </si>
  <si>
    <t>Production Plt Excl ARO</t>
  </si>
  <si>
    <t>207.58.g</t>
  </si>
  <si>
    <t>Less ARO</t>
  </si>
  <si>
    <t>207.57.g</t>
  </si>
  <si>
    <t>Transmission Plt Excl ARO</t>
  </si>
  <si>
    <t>207.75.g</t>
  </si>
  <si>
    <t>207.74.g</t>
  </si>
  <si>
    <t>Distribution Plt Excl ARO</t>
  </si>
  <si>
    <t>Intangible</t>
  </si>
  <si>
    <t xml:space="preserve">205.5.g </t>
  </si>
  <si>
    <t>207.99.g</t>
  </si>
  <si>
    <t>Less ARO General</t>
  </si>
  <si>
    <t>207.98.g</t>
  </si>
  <si>
    <t>Total General &amp; Intangible</t>
  </si>
  <si>
    <t>Common</t>
  </si>
  <si>
    <t>356.1</t>
  </si>
  <si>
    <t>Total Gross Plant in Service</t>
  </si>
  <si>
    <t>219.20.c</t>
  </si>
  <si>
    <t>Footnotes to 219.20.c</t>
  </si>
  <si>
    <t>219.21.c</t>
  </si>
  <si>
    <t>Footnotes to 219.21.c</t>
  </si>
  <si>
    <t>219.22.c</t>
  </si>
  <si>
    <t>Less ARO Hydraulic Production- Conventional</t>
  </si>
  <si>
    <t>Footnotes to 219.22.c</t>
  </si>
  <si>
    <t>Hydraulic Production- Pumped Storage</t>
  </si>
  <si>
    <t>219.23.c</t>
  </si>
  <si>
    <t>Less ARO Hydraulic Production- Pumped Storage</t>
  </si>
  <si>
    <t>Footnotes to 219.23.c</t>
  </si>
  <si>
    <t>Other Production</t>
  </si>
  <si>
    <t>219.24.c</t>
  </si>
  <si>
    <t>Less ARO Other Production</t>
  </si>
  <si>
    <t>Footnotes to 219.24.c</t>
  </si>
  <si>
    <t>Production Accum Dep Excl ARO</t>
  </si>
  <si>
    <t>219.25.c</t>
  </si>
  <si>
    <t>Footnotes to 219.25.c</t>
  </si>
  <si>
    <t>Transmission Accum Dep Excl ARO</t>
  </si>
  <si>
    <t>219.26.c</t>
  </si>
  <si>
    <t>Footnotes to 219.26.c</t>
  </si>
  <si>
    <t>Distribution Accum Dep Excl ARO</t>
  </si>
  <si>
    <t xml:space="preserve">219.28.c </t>
  </si>
  <si>
    <t>Footnotes to 219.28.c</t>
  </si>
  <si>
    <t>200.21.c</t>
  </si>
  <si>
    <t>Total Accum Dep</t>
  </si>
  <si>
    <t xml:space="preserve">ADIT </t>
  </si>
  <si>
    <t>Acct 281 (Negative)</t>
  </si>
  <si>
    <t>273.8.k</t>
  </si>
  <si>
    <t>Acct 282 (Negative)</t>
  </si>
  <si>
    <t>275.2.k</t>
  </si>
  <si>
    <t>Acct 282 FAS 106 &amp; 109</t>
  </si>
  <si>
    <t>WP 2</t>
  </si>
  <si>
    <t>Total Acct 282</t>
  </si>
  <si>
    <t>Acct 283 (Negative)</t>
  </si>
  <si>
    <t>277.9.k</t>
  </si>
  <si>
    <t>Acct 283 FAS 106 &amp; 109</t>
  </si>
  <si>
    <t>Total Acct 283</t>
  </si>
  <si>
    <t>Acct 190</t>
  </si>
  <si>
    <t>234.8.c</t>
  </si>
  <si>
    <t>Acct 190 FAS 106 &amp; 109</t>
  </si>
  <si>
    <t>Total Acct 190</t>
  </si>
  <si>
    <t xml:space="preserve">Land Held Future Use </t>
  </si>
  <si>
    <t>WP 3</t>
  </si>
  <si>
    <t>Materials &amp; Supplies</t>
  </si>
  <si>
    <t>Materials &amp; Supplies- Transmission Plant</t>
  </si>
  <si>
    <t xml:space="preserve">227.8.c </t>
  </si>
  <si>
    <t>Stores Expense Undistributed (Acct 163)</t>
  </si>
  <si>
    <t>227.16.c</t>
  </si>
  <si>
    <t>Total Account 154</t>
  </si>
  <si>
    <t>227.12.c</t>
  </si>
  <si>
    <t>Account 163 Prorated Amount for Trans Only</t>
  </si>
  <si>
    <t>(Ln57/Ln59)*Ln58</t>
  </si>
  <si>
    <t>Materials &amp; Supplies (Trans Only)</t>
  </si>
  <si>
    <t>Ln57 + Ln60</t>
  </si>
  <si>
    <t xml:space="preserve">Prepayments (Acct 165) </t>
  </si>
  <si>
    <t>111.57.c</t>
  </si>
  <si>
    <t>O&amp;M</t>
  </si>
  <si>
    <t>321.112.b</t>
  </si>
  <si>
    <t>Deferred MISO Costs</t>
  </si>
  <si>
    <t>WP15</t>
  </si>
  <si>
    <t>Deferred ITC Costs</t>
  </si>
  <si>
    <t>WP16</t>
  </si>
  <si>
    <t>Less Facility Credits</t>
  </si>
  <si>
    <t>WP 9</t>
  </si>
  <si>
    <t>Account 561.4</t>
  </si>
  <si>
    <t xml:space="preserve">321.88.b </t>
  </si>
  <si>
    <t>Account 561.8</t>
  </si>
  <si>
    <t>321.92.b</t>
  </si>
  <si>
    <t>Total Accounts 561.4 &amp; 561.8</t>
  </si>
  <si>
    <t>Acct 565</t>
  </si>
  <si>
    <t>321.96.b</t>
  </si>
  <si>
    <t>A&amp;G</t>
  </si>
  <si>
    <t>323.197.b</t>
  </si>
  <si>
    <t>Total A&amp;G</t>
  </si>
  <si>
    <t>FERC Annual Fees</t>
  </si>
  <si>
    <t>350.3.b</t>
  </si>
  <si>
    <t>EPRI Dues</t>
  </si>
  <si>
    <t>353.5.f</t>
  </si>
  <si>
    <t>WP 4</t>
  </si>
  <si>
    <t>Total EPRI</t>
  </si>
  <si>
    <t>Regulatory Commission Exp.</t>
  </si>
  <si>
    <t>351.46.h</t>
  </si>
  <si>
    <t>Less: FERC Annual Fees</t>
  </si>
  <si>
    <t>Total Regulatory Commision Exp.</t>
  </si>
  <si>
    <t>Non-Safety (Account 930.1)</t>
  </si>
  <si>
    <t>323.191.b</t>
  </si>
  <si>
    <t>Total Non-Safety (Account 930.1)</t>
  </si>
  <si>
    <t>Total EPRI, Reg Comm Exp &amp; Non-Safety</t>
  </si>
  <si>
    <t>Trans Related Reg Comm Exp</t>
  </si>
  <si>
    <t>MISO Transition Cost</t>
  </si>
  <si>
    <t>MISO transition costs deferral</t>
  </si>
  <si>
    <t>Total Trans Related Reg Comm Exp</t>
  </si>
  <si>
    <t>Transmission Lease Payments</t>
  </si>
  <si>
    <t>Depreciation &amp; Amortization</t>
  </si>
  <si>
    <t>336.7.b</t>
  </si>
  <si>
    <t xml:space="preserve">336.10.f </t>
  </si>
  <si>
    <t>Total General</t>
  </si>
  <si>
    <t>336.1.f</t>
  </si>
  <si>
    <t>336.11.b</t>
  </si>
  <si>
    <t>Taxes Other Than Income</t>
  </si>
  <si>
    <t xml:space="preserve">  LABOR RELATED</t>
  </si>
  <si>
    <t>FICA</t>
  </si>
  <si>
    <t>263.3.i</t>
  </si>
  <si>
    <t>Fed Unemployment</t>
  </si>
  <si>
    <t>263.4.i</t>
  </si>
  <si>
    <t>State Unemployment</t>
  </si>
  <si>
    <t>263.10.i</t>
  </si>
  <si>
    <t>Employment Taxes</t>
  </si>
  <si>
    <t>WP 12</t>
  </si>
  <si>
    <t>Total Payroll</t>
  </si>
  <si>
    <t>Highway and vehicle</t>
  </si>
  <si>
    <t>263.i</t>
  </si>
  <si>
    <t xml:space="preserve">  PLANT RELATED</t>
  </si>
  <si>
    <t>Property</t>
  </si>
  <si>
    <t>Ad Velorem Tax</t>
  </si>
  <si>
    <t>263.17.i</t>
  </si>
  <si>
    <t>Ad Valorem</t>
  </si>
  <si>
    <t>Total Property</t>
  </si>
  <si>
    <t>Gross Receipts</t>
  </si>
  <si>
    <t>Gross Receipts &amp; Sales Tax</t>
  </si>
  <si>
    <t>263.14.i</t>
  </si>
  <si>
    <t>Use Tax</t>
  </si>
  <si>
    <t>263.13.i</t>
  </si>
  <si>
    <t>Gross Receipts Privilege Tax</t>
  </si>
  <si>
    <t>263.16.i</t>
  </si>
  <si>
    <t xml:space="preserve">Franchise Tax- Local </t>
  </si>
  <si>
    <t>263.18.i</t>
  </si>
  <si>
    <t>Total Gross Receipts</t>
  </si>
  <si>
    <t>Other</t>
  </si>
  <si>
    <t>Excise Tax- State</t>
  </si>
  <si>
    <t>Franchise Tax State</t>
  </si>
  <si>
    <t>City Occupation Tax</t>
  </si>
  <si>
    <t>State Excise Tax</t>
  </si>
  <si>
    <t>263.19.i</t>
  </si>
  <si>
    <t>Federal Excise Tax</t>
  </si>
  <si>
    <t>263.5.i</t>
  </si>
  <si>
    <t>Capital Stock Franchise</t>
  </si>
  <si>
    <t>263.11.i</t>
  </si>
  <si>
    <t>Regulatory commission</t>
  </si>
  <si>
    <t>263.12.i</t>
  </si>
  <si>
    <t>Railcar</t>
  </si>
  <si>
    <t>263.15.i</t>
  </si>
  <si>
    <t>Non Income Taxes</t>
  </si>
  <si>
    <t>263.20.i</t>
  </si>
  <si>
    <t>Total Other</t>
  </si>
  <si>
    <t>Payments in lieu of taxes</t>
  </si>
  <si>
    <t>Federal Income</t>
  </si>
  <si>
    <t>263.2.i</t>
  </si>
  <si>
    <t>State Income</t>
  </si>
  <si>
    <t>263.9.i</t>
  </si>
  <si>
    <t>263.31.i</t>
  </si>
  <si>
    <t>Investment Tax Credit Amortization (enter negative)</t>
  </si>
  <si>
    <t>266.8.f</t>
  </si>
  <si>
    <t>Excess Deferred Income Taxes (enter negative)</t>
  </si>
  <si>
    <t>WP 5</t>
  </si>
  <si>
    <t>Tax Effect of Permanent Differences</t>
  </si>
  <si>
    <t>Attachment GG Adjustment</t>
  </si>
  <si>
    <t>Attachment MM Adjustment</t>
  </si>
  <si>
    <t>Rev Requ for Supp Upgrade trans facilities</t>
  </si>
  <si>
    <t>WP 13</t>
  </si>
  <si>
    <t>TRANS PLT INCLUDED IN ISO RATES</t>
  </si>
  <si>
    <t>Less Trans Excluded from ISO rates</t>
  </si>
  <si>
    <t>Step-Up Transformers</t>
  </si>
  <si>
    <t>Plant In Service</t>
  </si>
  <si>
    <t>WP 6</t>
  </si>
  <si>
    <t>Transmission Expenses</t>
  </si>
  <si>
    <t>Account 561.1</t>
  </si>
  <si>
    <t>321.85.b</t>
  </si>
  <si>
    <t>WP 15</t>
  </si>
  <si>
    <t>Account 561.2</t>
  </si>
  <si>
    <t>321.86.b</t>
  </si>
  <si>
    <t>Account 561.3</t>
  </si>
  <si>
    <t>321.87.b</t>
  </si>
  <si>
    <t>Account 561.BA</t>
  </si>
  <si>
    <t>Total Trans Expenses Included in OATT Ancillary Services</t>
  </si>
  <si>
    <t>Labor Expense</t>
  </si>
  <si>
    <t>354.20.b</t>
  </si>
  <si>
    <t>WP 16</t>
  </si>
  <si>
    <t>ESI</t>
  </si>
  <si>
    <t>Footnotes 354.96.d</t>
  </si>
  <si>
    <t>EOI</t>
  </si>
  <si>
    <t>Total Production</t>
  </si>
  <si>
    <t>354.21.b</t>
  </si>
  <si>
    <t>Total Transmission</t>
  </si>
  <si>
    <t>354.23.b</t>
  </si>
  <si>
    <t>Total Distribution</t>
  </si>
  <si>
    <t>354.24.b</t>
  </si>
  <si>
    <t>Customer Accounts ESI</t>
  </si>
  <si>
    <t>Customer Service and Informational</t>
  </si>
  <si>
    <t>354.25.b</t>
  </si>
  <si>
    <t>Customer Service ESI</t>
  </si>
  <si>
    <t>Sales</t>
  </si>
  <si>
    <t>354.26.b</t>
  </si>
  <si>
    <t>Sales ESI</t>
  </si>
  <si>
    <t>COMMON PLANT ALLOCATOR  (CE)</t>
  </si>
  <si>
    <t xml:space="preserve"> Electric</t>
  </si>
  <si>
    <t>200.3.c</t>
  </si>
  <si>
    <t xml:space="preserve"> Gas</t>
  </si>
  <si>
    <t>201.3.d</t>
  </si>
  <si>
    <t xml:space="preserve"> Water</t>
  </si>
  <si>
    <t>201.3.e</t>
  </si>
  <si>
    <t>Cost of Capital</t>
  </si>
  <si>
    <t>Long Term Interest Exp</t>
  </si>
  <si>
    <t>Account 427</t>
  </si>
  <si>
    <t xml:space="preserve">117.62.c </t>
  </si>
  <si>
    <t>Account 428</t>
  </si>
  <si>
    <t>117.63.c</t>
  </si>
  <si>
    <t>Account 428.1</t>
  </si>
  <si>
    <t>117.64.c</t>
  </si>
  <si>
    <t>(Less) Account 429</t>
  </si>
  <si>
    <t>117.65.c</t>
  </si>
  <si>
    <t>(Less) Account 429.1</t>
  </si>
  <si>
    <t>117.66.c</t>
  </si>
  <si>
    <t>Account 430</t>
  </si>
  <si>
    <t>117.67.c</t>
  </si>
  <si>
    <t>Total Long Term Interest Exp</t>
  </si>
  <si>
    <t>Preferred Dividends (positive number)</t>
  </si>
  <si>
    <t>118.29.c</t>
  </si>
  <si>
    <t>Proprietary Capital</t>
  </si>
  <si>
    <t>112.16.c</t>
  </si>
  <si>
    <t>Preferred Stock</t>
  </si>
  <si>
    <t>112.3.c</t>
  </si>
  <si>
    <t>Account 216.1 (enter negative)</t>
  </si>
  <si>
    <t>112.12.c</t>
  </si>
  <si>
    <t>Account 221</t>
  </si>
  <si>
    <t>112.18.c</t>
  </si>
  <si>
    <t>(Less) Account 222</t>
  </si>
  <si>
    <t>112.19.c</t>
  </si>
  <si>
    <t>Account 223</t>
  </si>
  <si>
    <t>112.20.c</t>
  </si>
  <si>
    <t>Account 224</t>
  </si>
  <si>
    <t>112.21.c</t>
  </si>
  <si>
    <t>Total Long Term Debt</t>
  </si>
  <si>
    <t>Account 447 (Sales for Resale)</t>
  </si>
  <si>
    <t>Bundled Non-RQ Sales for Resale</t>
  </si>
  <si>
    <t>ZERO</t>
  </si>
  <si>
    <t>Bundled Sales for Resale</t>
  </si>
  <si>
    <t>Revenues</t>
  </si>
  <si>
    <t>Transmission Related</t>
  </si>
  <si>
    <t>WP 7</t>
  </si>
  <si>
    <t>Account 456.1</t>
  </si>
  <si>
    <t>WP 8</t>
  </si>
  <si>
    <t>Total Charges for all transm transactions included in Divisor on Page 1</t>
  </si>
  <si>
    <t>Transmission charges associated with Attachment GG  (Note X)</t>
  </si>
  <si>
    <t>Transmission charges associated with Attachment MM  (Note Z)</t>
  </si>
  <si>
    <t>Revenues from Grandfathered Interzonal Transactions</t>
  </si>
  <si>
    <t>Revenues from service provided by the ISO at a discount</t>
  </si>
  <si>
    <t>Network Customer 1</t>
  </si>
  <si>
    <t>Network Customer 2</t>
  </si>
  <si>
    <t>Divisor</t>
  </si>
  <si>
    <t>Average of billing determinants</t>
  </si>
  <si>
    <t>Footnotes 400.1.a &amp;WP 10</t>
  </si>
  <si>
    <t>Plus 12 CP of firm bundled sales</t>
  </si>
  <si>
    <t>Plus 12 CP of Network Load</t>
  </si>
  <si>
    <t>Less 12 CP of firm P-T-P (enter negative)</t>
  </si>
  <si>
    <t>Plus Contract Demand of firm P-T-P</t>
  </si>
  <si>
    <t>Less Contract Demand from Grandfathered (enter negative)</t>
  </si>
  <si>
    <t>Less Contract Demand from ISO at a discount (enter negative)</t>
  </si>
  <si>
    <t>Tax Rates</t>
  </si>
  <si>
    <t>WP 11</t>
  </si>
  <si>
    <t>% of federal income tax deductible by state</t>
  </si>
  <si>
    <t>Schedule 1 Recoverable Expenses</t>
  </si>
  <si>
    <t>Revenue Associated with Non-Firm Sales</t>
  </si>
  <si>
    <t>WP 14</t>
  </si>
  <si>
    <t>Revenue Associated with Short Term Sales</t>
  </si>
  <si>
    <t>2013 DATA</t>
  </si>
  <si>
    <t>FOR THE YEAR ENDED DECEMBER 31, 2013</t>
  </si>
  <si>
    <t>C6PPWMR001</t>
  </si>
  <si>
    <t>C6PPLRT002</t>
  </si>
  <si>
    <t>253107 - Oth Def - EAI CWIP</t>
  </si>
  <si>
    <t>4265AD - AFDC Dr Cntra APSC Ord 09-84-U</t>
  </si>
  <si>
    <t>4265AE - AFDC Eqty Cntr APSC Or 09-84-U</t>
  </si>
  <si>
    <t>E1PPTIPENO</t>
  </si>
  <si>
    <t>524000 - Misc. Nuclear Power Expenses</t>
  </si>
  <si>
    <t>573000 - Maint Misc Transmission Plant</t>
  </si>
  <si>
    <t>588000 - Misc Distribution Expense</t>
  </si>
  <si>
    <t>593000 - Maintenance Of Overhead Lines</t>
  </si>
  <si>
    <t>903002 - Collection Expense</t>
  </si>
  <si>
    <t>931000 - Rents</t>
  </si>
  <si>
    <t>524 - Misc. Nuclear Power Expenses</t>
  </si>
  <si>
    <t>930.2 - Misc. General Expense</t>
  </si>
  <si>
    <t>Other Costs (A/C 1010 - 253107)</t>
  </si>
  <si>
    <t>931 - Rents</t>
  </si>
  <si>
    <t>2013</t>
  </si>
  <si>
    <t>Twelve Months Ended December 31, 2013</t>
  </si>
  <si>
    <t>Details of ITC Costs Charged to Operating Companies</t>
  </si>
  <si>
    <t>Test Year Ended December 31, 2013</t>
  </si>
  <si>
    <t>For the 12 months ended 12/31/13</t>
  </si>
  <si>
    <t>2013 Equity AFUDC Originating Difference</t>
  </si>
  <si>
    <t>Critical Infrastructure Protection</t>
  </si>
  <si>
    <t>WATER PROGRAMS - FOSSIL</t>
  </si>
  <si>
    <t>EPRI - ANO</t>
  </si>
  <si>
    <t>ESI NUCLEAR EMPLOYEES</t>
  </si>
  <si>
    <t>(1) Ties to FERC Form 1 353.7.f</t>
  </si>
  <si>
    <t>Net RTO/MISO related Start-Up costs recorded in 2013.</t>
  </si>
  <si>
    <t>905000</t>
  </si>
  <si>
    <t>931000</t>
  </si>
  <si>
    <t>925000</t>
  </si>
  <si>
    <t>143983</t>
  </si>
  <si>
    <t>143985</t>
  </si>
  <si>
    <t>143987</t>
  </si>
  <si>
    <t>143995</t>
  </si>
  <si>
    <t>903002</t>
  </si>
  <si>
    <t>510000</t>
  </si>
  <si>
    <t>456107 - Network Transmission Revenue</t>
  </si>
  <si>
    <t>456136 - MISO Sch 7 Firm PTP - ST</t>
  </si>
  <si>
    <t>456137 - MISO Sch 7 Firm PTP - LT</t>
  </si>
  <si>
    <t>456138 - MISO Sch 8 Non-firm</t>
  </si>
  <si>
    <t>456139 - MISO Sch 9 Network</t>
  </si>
  <si>
    <t>456141 - MISO Sch 41 Stm Securitization</t>
  </si>
  <si>
    <t>456142 - MISO Sch 42 Int/AFUDC Amort</t>
  </si>
  <si>
    <t>2013 DEPRECIATION EXPENSES</t>
  </si>
  <si>
    <t>TOTAL 2013 DEPR. EXPENSES</t>
  </si>
  <si>
    <t>2013 Total</t>
  </si>
  <si>
    <t>CLECO (NLAKE)</t>
  </si>
  <si>
    <t>TOTAL Facility Credits by Opco for 2013</t>
  </si>
  <si>
    <t xml:space="preserve"> </t>
  </si>
  <si>
    <t>(3)</t>
  </si>
  <si>
    <t>For Year 2013</t>
  </si>
  <si>
    <t>408110</t>
  </si>
  <si>
    <t>500000</t>
  </si>
  <si>
    <t>507000</t>
  </si>
  <si>
    <t>556000</t>
  </si>
  <si>
    <t>557000</t>
  </si>
  <si>
    <t>560000</t>
  </si>
  <si>
    <t>561200</t>
  </si>
  <si>
    <t>561300</t>
  </si>
  <si>
    <t>561500</t>
  </si>
  <si>
    <t>566000</t>
  </si>
  <si>
    <t>569100</t>
  </si>
  <si>
    <t>909000</t>
  </si>
  <si>
    <t>920000</t>
  </si>
  <si>
    <t>921000</t>
  </si>
  <si>
    <t>926000</t>
  </si>
  <si>
    <t>928000</t>
  </si>
  <si>
    <t>930100</t>
  </si>
  <si>
    <t>930200</t>
  </si>
  <si>
    <t>Oth Accts Receivable</t>
  </si>
  <si>
    <t>WP 17</t>
  </si>
  <si>
    <t>F3PPSPE084</t>
  </si>
  <si>
    <t>F3PPSPE085</t>
  </si>
  <si>
    <t>351.42.h</t>
  </si>
  <si>
    <t>Attachment O Denominator</t>
  </si>
  <si>
    <t>SUM EAI LOAD</t>
  </si>
  <si>
    <t>TOTAL/12</t>
  </si>
  <si>
    <t>AG</t>
  </si>
  <si>
    <t>AP</t>
  </si>
  <si>
    <t>AQ</t>
  </si>
  <si>
    <t>AR</t>
  </si>
  <si>
    <t>AT</t>
  </si>
  <si>
    <t>AW</t>
  </si>
  <si>
    <t>AX</t>
  </si>
  <si>
    <t>AY</t>
  </si>
  <si>
    <t>Excise Tax- Federal</t>
  </si>
  <si>
    <t>At December 31, 2013</t>
  </si>
  <si>
    <t>Schedule 1 Charges Associated with Non-Firm</t>
  </si>
  <si>
    <t xml:space="preserve">Transmission charges for all transmission transactions </t>
  </si>
  <si>
    <t>351.h</t>
  </si>
  <si>
    <t>Excess Deferred Income Tax &amp; Tax Effect of Permanent Differences</t>
  </si>
  <si>
    <t>Account Description</t>
  </si>
  <si>
    <t>Monthly Average</t>
  </si>
  <si>
    <t>Annualized Amount</t>
  </si>
  <si>
    <t>456136</t>
  </si>
  <si>
    <t>MISO Sch 7 Firm PTP - ST</t>
  </si>
  <si>
    <t>456137</t>
  </si>
  <si>
    <t>MISO Sch 7 Firm PTP - LT</t>
  </si>
  <si>
    <t>456138</t>
  </si>
  <si>
    <t>MISO Sch 8 Non-firm</t>
  </si>
  <si>
    <t>For the Test Year Ended December 31, 2013</t>
  </si>
  <si>
    <t>Southwestern Electric Coop</t>
  </si>
  <si>
    <t>TOTAL LOAD FOR EAI DIVISOR</t>
  </si>
  <si>
    <t>AB</t>
  </si>
  <si>
    <t>FOR THE TEST YEAR ENDED DECEMBER 31, 2013</t>
  </si>
  <si>
    <t>ADIT BALANCES (End of Month)</t>
  </si>
  <si>
    <t>Total ADIT Balances</t>
  </si>
  <si>
    <t>Schedule 24 Recoverable Costs (A/C 561.2BA)</t>
  </si>
  <si>
    <t>Total Account 456.1 Revenues</t>
  </si>
  <si>
    <t>Line 13 * Line 17</t>
  </si>
  <si>
    <t>Post MISO Integration</t>
  </si>
  <si>
    <t>Line 18 + Line 19</t>
  </si>
  <si>
    <t>Line 21 + Line 22</t>
  </si>
  <si>
    <t>Transmission charges for all transmission transactions (1)</t>
  </si>
  <si>
    <t>Notes:</t>
  </si>
  <si>
    <t xml:space="preserve">(1) Upon the transition into MISO, a number of transmission customers have cancelled existing contracts or converted an existing contract to another type of service.  The amount of revenue credits is based on the annualization of MISO Schedule 7 and 8 revenues received during the first quarter of 2014. </t>
  </si>
  <si>
    <t xml:space="preserve">January 2014 ISB Resp. Ratio </t>
  </si>
  <si>
    <t>(2) Workpaper 8a</t>
  </si>
  <si>
    <t>(3) Form 1 Pg 330 Col n</t>
  </si>
  <si>
    <t>Reference</t>
  </si>
  <si>
    <t>WP 13a</t>
  </si>
  <si>
    <t>TOTAL SYSTEM PTP- EAI</t>
  </si>
  <si>
    <t>TOTAL SYSTEM PTP- EGSL</t>
  </si>
  <si>
    <t>TOTAL SYSTEM PTP- ELL</t>
  </si>
  <si>
    <t>TOTAL SYSTEM PTP- EMI</t>
  </si>
  <si>
    <t>TOTAL SYSTEM PTP- ENO</t>
  </si>
  <si>
    <t>TOTAL SYSTEM PTP- ETI</t>
  </si>
  <si>
    <t>BE = N+SUM(P:AE)</t>
  </si>
  <si>
    <t>BF</t>
  </si>
  <si>
    <t>BG</t>
  </si>
  <si>
    <t>BH</t>
  </si>
  <si>
    <t>BI</t>
  </si>
  <si>
    <t>BJ</t>
  </si>
  <si>
    <t>BK</t>
  </si>
  <si>
    <t>Ref</t>
  </si>
  <si>
    <t>Gross Transmission Plant in Service</t>
  </si>
  <si>
    <t>PTP Ratio Share</t>
  </si>
  <si>
    <t>PTP Load Ratio Share Calculation</t>
  </si>
  <si>
    <t>TOTAL SYSTEM PTP- EAI (NO LONGER ENTERGY LOAD) (2)</t>
  </si>
  <si>
    <t>TOTAL LOAD FOR EAI (3)</t>
  </si>
  <si>
    <t>Form 1 Pg 400 footnote.</t>
  </si>
  <si>
    <t xml:space="preserve">Remove directly assigned PTP load included in Total PTP load. </t>
  </si>
  <si>
    <t>TOTAL SYSTEM PTP (1)</t>
  </si>
  <si>
    <t>Known service changes or load that sinks outside of MISO after the Dec. 19, 2013 integration into MISO.  Also see WP 10a.</t>
  </si>
  <si>
    <t>Known service changes or load that sinks outside of MISO after the Dec. 19, 2013 integration into MISO.  Also see WP 10.</t>
  </si>
  <si>
    <t>Hydraulic Production- Conventional</t>
  </si>
  <si>
    <t>Depreciation Expense</t>
  </si>
  <si>
    <t>Oper Super &amp; Engineering</t>
  </si>
  <si>
    <t>Adm &amp; General Salaries</t>
  </si>
  <si>
    <t>Office Supplies And Expenses</t>
  </si>
  <si>
    <t>Outside Services Employed</t>
  </si>
  <si>
    <t>Employee Pension &amp; Benefits</t>
  </si>
  <si>
    <t>Rents</t>
  </si>
  <si>
    <t>EGSL - Total</t>
  </si>
  <si>
    <t>EGSL- Elec</t>
  </si>
  <si>
    <t>Total Taxes Other Than Income</t>
  </si>
  <si>
    <t>Total Income &amp; Expense</t>
  </si>
  <si>
    <t>Total Transmission O&amp;M Expense</t>
  </si>
  <si>
    <t>HCM Retail Deferral</t>
  </si>
  <si>
    <t>WP 18</t>
  </si>
  <si>
    <t>Human Capital Management Retail Deferral (1)</t>
  </si>
  <si>
    <t>The deferral only inlcudes incremental, non-payroll costs.</t>
  </si>
  <si>
    <t>Index to Attachment O Workpapers</t>
  </si>
  <si>
    <r>
      <t>-</t>
    </r>
    <r>
      <rPr>
        <sz val="7"/>
        <color theme="1"/>
        <rFont val="Times New Roman"/>
        <family val="1"/>
      </rPr>
      <t xml:space="preserve">        </t>
    </r>
    <r>
      <rPr>
        <sz val="11"/>
        <color theme="1"/>
        <rFont val="Calibri"/>
        <family val="2"/>
        <scheme val="minor"/>
      </rPr>
      <t>WP 1: Summary of Data used in Attachment O Rate Formula Template</t>
    </r>
  </si>
  <si>
    <r>
      <t>-</t>
    </r>
    <r>
      <rPr>
        <sz val="7"/>
        <color theme="1"/>
        <rFont val="Times New Roman"/>
        <family val="1"/>
      </rPr>
      <t xml:space="preserve">        </t>
    </r>
    <r>
      <rPr>
        <sz val="11"/>
        <color theme="1"/>
        <rFont val="Calibri"/>
        <family val="2"/>
        <scheme val="minor"/>
      </rPr>
      <t>WP 8: Account 456 – Other Electric Revenues</t>
    </r>
  </si>
  <si>
    <r>
      <t>-</t>
    </r>
    <r>
      <rPr>
        <sz val="7"/>
        <color theme="1"/>
        <rFont val="Times New Roman"/>
        <family val="1"/>
      </rPr>
      <t xml:space="preserve">        </t>
    </r>
    <r>
      <rPr>
        <sz val="11"/>
        <color theme="1"/>
        <rFont val="Calibri"/>
        <family val="2"/>
        <scheme val="minor"/>
      </rPr>
      <t>WP 9: Transmission Facility Credits</t>
    </r>
  </si>
  <si>
    <r>
      <t>-</t>
    </r>
    <r>
      <rPr>
        <sz val="7"/>
        <color theme="1"/>
        <rFont val="Times New Roman"/>
        <family val="1"/>
      </rPr>
      <t xml:space="preserve">        </t>
    </r>
    <r>
      <rPr>
        <sz val="11"/>
        <color theme="1"/>
        <rFont val="Calibri"/>
        <family val="2"/>
        <scheme val="minor"/>
      </rPr>
      <t>WP 13: Supplemental Transmission Upgrade Revenue Requirement</t>
    </r>
  </si>
  <si>
    <r>
      <t>-</t>
    </r>
    <r>
      <rPr>
        <sz val="7"/>
        <color theme="1"/>
        <rFont val="Times New Roman"/>
        <family val="1"/>
      </rPr>
      <t xml:space="preserve">        </t>
    </r>
    <r>
      <rPr>
        <sz val="11"/>
        <color theme="1"/>
        <rFont val="Calibri"/>
        <family val="2"/>
        <scheme val="minor"/>
      </rPr>
      <t>WP 15: MISO Start-Up Costs</t>
    </r>
  </si>
  <si>
    <r>
      <t>-</t>
    </r>
    <r>
      <rPr>
        <sz val="7"/>
        <color theme="1"/>
        <rFont val="Times New Roman"/>
        <family val="1"/>
      </rPr>
      <t xml:space="preserve">        </t>
    </r>
    <r>
      <rPr>
        <sz val="11"/>
        <color theme="1"/>
        <rFont val="Calibri"/>
        <family val="2"/>
        <scheme val="minor"/>
      </rPr>
      <t>WP 16: ITC Transaction Costs</t>
    </r>
  </si>
  <si>
    <r>
      <t>-</t>
    </r>
    <r>
      <rPr>
        <sz val="7"/>
        <color theme="1"/>
        <rFont val="Times New Roman"/>
        <family val="1"/>
      </rPr>
      <t xml:space="preserve">        </t>
    </r>
    <r>
      <rPr>
        <sz val="11"/>
        <color theme="1"/>
        <rFont val="Calibri"/>
        <family val="2"/>
        <scheme val="minor"/>
      </rPr>
      <t xml:space="preserve">WP 18: Human Capital Management Deferral </t>
    </r>
  </si>
  <si>
    <r>
      <t>-</t>
    </r>
    <r>
      <rPr>
        <sz val="7"/>
        <color theme="1"/>
        <rFont val="Times New Roman"/>
        <family val="1"/>
      </rPr>
      <t xml:space="preserve">        </t>
    </r>
    <r>
      <rPr>
        <sz val="11"/>
        <color theme="1"/>
        <rFont val="Calibri"/>
        <family val="2"/>
        <scheme val="minor"/>
      </rPr>
      <t>WP 2: ADIT FAS 109 Offset</t>
    </r>
  </si>
  <si>
    <r>
      <t>-</t>
    </r>
    <r>
      <rPr>
        <sz val="7"/>
        <color theme="1"/>
        <rFont val="Times New Roman"/>
        <family val="1"/>
      </rPr>
      <t xml:space="preserve">        </t>
    </r>
    <r>
      <rPr>
        <sz val="11"/>
        <color theme="1"/>
        <rFont val="Calibri"/>
        <family val="2"/>
        <scheme val="minor"/>
      </rPr>
      <t>WP 3: Land Held for Future Use</t>
    </r>
  </si>
  <si>
    <r>
      <t>-</t>
    </r>
    <r>
      <rPr>
        <sz val="7"/>
        <color theme="1"/>
        <rFont val="Times New Roman"/>
        <family val="1"/>
      </rPr>
      <t xml:space="preserve">        </t>
    </r>
    <r>
      <rPr>
        <sz val="11"/>
        <color theme="1"/>
        <rFont val="Calibri"/>
        <family val="2"/>
        <scheme val="minor"/>
      </rPr>
      <t>WP 4: EPRI Research Detail</t>
    </r>
  </si>
  <si>
    <r>
      <t>-</t>
    </r>
    <r>
      <rPr>
        <sz val="7"/>
        <color theme="1"/>
        <rFont val="Times New Roman"/>
        <family val="1"/>
      </rPr>
      <t xml:space="preserve">        </t>
    </r>
    <r>
      <rPr>
        <sz val="11"/>
        <color theme="1"/>
        <rFont val="Calibri"/>
        <family val="2"/>
        <scheme val="minor"/>
      </rPr>
      <t>WP 5: Excess Deferred Income Tax &amp; Tax Effect of Permanent Differences</t>
    </r>
  </si>
  <si>
    <r>
      <t>-</t>
    </r>
    <r>
      <rPr>
        <sz val="7"/>
        <color theme="1"/>
        <rFont val="Times New Roman"/>
        <family val="1"/>
      </rPr>
      <t xml:space="preserve">        </t>
    </r>
    <r>
      <rPr>
        <sz val="11"/>
        <color theme="1"/>
        <rFont val="Calibri"/>
        <family val="2"/>
        <scheme val="minor"/>
      </rPr>
      <t>WP 6: Transmission Plant in Service</t>
    </r>
  </si>
  <si>
    <r>
      <t>-</t>
    </r>
    <r>
      <rPr>
        <sz val="7"/>
        <color theme="1"/>
        <rFont val="Times New Roman"/>
        <family val="1"/>
      </rPr>
      <t xml:space="preserve">        </t>
    </r>
    <r>
      <rPr>
        <sz val="11"/>
        <color theme="1"/>
        <rFont val="Calibri"/>
        <family val="2"/>
        <scheme val="minor"/>
      </rPr>
      <t>WP 7: Account 454 Rent from Electric Property Functionalization</t>
    </r>
  </si>
  <si>
    <r>
      <t>-</t>
    </r>
    <r>
      <rPr>
        <sz val="7"/>
        <color theme="1"/>
        <rFont val="Times New Roman"/>
        <family val="1"/>
      </rPr>
      <t xml:space="preserve">        </t>
    </r>
    <r>
      <rPr>
        <sz val="11"/>
        <color theme="1"/>
        <rFont val="Calibri"/>
        <family val="2"/>
        <scheme val="minor"/>
      </rPr>
      <t>WP 12: Taxes Other Than Income Tax Charged By Affiliates</t>
    </r>
  </si>
  <si>
    <r>
      <t>-</t>
    </r>
    <r>
      <rPr>
        <sz val="7"/>
        <color theme="1"/>
        <rFont val="Times New Roman"/>
        <family val="1"/>
      </rPr>
      <t xml:space="preserve">        </t>
    </r>
    <r>
      <rPr>
        <sz val="11"/>
        <color theme="1"/>
        <rFont val="Calibri"/>
        <family val="2"/>
        <scheme val="minor"/>
      </rPr>
      <t>WP 14: Schedule 1 Revenues</t>
    </r>
  </si>
  <si>
    <r>
      <t>-</t>
    </r>
    <r>
      <rPr>
        <sz val="7"/>
        <color theme="1"/>
        <rFont val="Times New Roman"/>
        <family val="1"/>
      </rPr>
      <t xml:space="preserve">        </t>
    </r>
    <r>
      <rPr>
        <sz val="11"/>
        <color theme="1"/>
        <rFont val="Calibri"/>
        <family val="2"/>
        <scheme val="minor"/>
      </rPr>
      <t>WP 17: Schedule 24 Recoverable Costs</t>
    </r>
  </si>
  <si>
    <t>-      WP 10: Attachment O Denominator</t>
  </si>
  <si>
    <t>-      WP 11: Income Tax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</si>
</sst>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7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_)"/>
    <numFmt numFmtId="166" formatCode="m&quot;¤ë&quot;d&quot;¤é&quot;"/>
    <numFmt numFmtId="167" formatCode="00000"/>
    <numFmt numFmtId="168" formatCode="_-* #,##0.0_-;\-* #,##0.0_-;_-* &quot;-&quot;??_-;_-@_-"/>
    <numFmt numFmtId="169" formatCode="0.00_)"/>
    <numFmt numFmtId="170" formatCode="###,###,##0,;\(###,###,##0,\);0"/>
    <numFmt numFmtId="171" formatCode="&quot;£&quot;#,##0;\-&quot;£&quot;#,##0"/>
    <numFmt numFmtId="172" formatCode="[$-409]mmmm\ d\,\ yyyy;@"/>
    <numFmt numFmtId="173" formatCode="_(* #,##0.00000_);_(* \(#,##0.00000\);_(* &quot;-&quot;??_);_(@_)"/>
    <numFmt numFmtId="174" formatCode="[$-409]mmm\-yy;@"/>
    <numFmt numFmtId="175" formatCode="&quot;$&quot;#,##0.00"/>
    <numFmt numFmtId="176" formatCode="#,##0.0_);\(#,##0.0\)"/>
    <numFmt numFmtId="177" formatCode="#,##0.000_);\(#,##0.000\)"/>
    <numFmt numFmtId="178" formatCode="0.0000"/>
    <numFmt numFmtId="179" formatCode="0.0%_);\(0.0%\)"/>
    <numFmt numFmtId="180" formatCode="\•\ \ @"/>
    <numFmt numFmtId="181" formatCode="#,##0,_);\(#,##0,\)"/>
    <numFmt numFmtId="182" formatCode="0.0,_);\(0.0,\)"/>
    <numFmt numFmtId="183" formatCode="0.00,_);\(0.00,\)"/>
    <numFmt numFmtId="184" formatCode="_._.* #,##0.0_)_%;_._.* \(#,##0.0\)_%;_._.* \ ?_)_%"/>
    <numFmt numFmtId="185" formatCode="_._.* #,##0.00_)_%;_._.* \(#,##0.00\)_%;_._.* \ ?_)_%"/>
    <numFmt numFmtId="186" formatCode="_._.* #,##0.000_)_%;_._.* \(#,##0.000\)_%;_._.* \ ?_)_%"/>
    <numFmt numFmtId="187" formatCode="_._.* #,##0.0000_)_%;_._.* \(#,##0.0000\)_%;_._.* \ ?_)_%"/>
    <numFmt numFmtId="188" formatCode="_._.&quot;$&quot;* #,##0.0_)_%;_._.&quot;$&quot;* \(#,##0.0\)_%;_._.&quot;$&quot;* \ ?_)_%"/>
    <numFmt numFmtId="189" formatCode="_._.&quot;$&quot;* #,##0.00_)_%;_._.&quot;$&quot;* \(#,##0.00\)_%;_._.&quot;$&quot;* \ ?_)_%"/>
    <numFmt numFmtId="190" formatCode="_._.&quot;$&quot;* #,##0.000_)_%;_._.&quot;$&quot;* \(#,##0.000\)_%;_._.&quot;$&quot;* \ ?_)_%"/>
    <numFmt numFmtId="191" formatCode="_._.&quot;$&quot;* #,##0.0000_)_%;_._.&quot;$&quot;* \(#,##0.0000\)_%;_._.&quot;$&quot;* \ ?_)_%"/>
    <numFmt numFmtId="192" formatCode="&quot;$&quot;#,##0,_);\(&quot;$&quot;#,##0,\)"/>
    <numFmt numFmtId="193" formatCode="&quot;$&quot;#,##0.0_);\(&quot;$&quot;#,##0.0\)"/>
    <numFmt numFmtId="194" formatCode="&quot;$&quot;0.0,_);\(&quot;$&quot;0.0,\)"/>
    <numFmt numFmtId="195" formatCode="&quot;$&quot;0.00,_);\(&quot;$&quot;0.00,\)"/>
    <numFmt numFmtId="196" formatCode="&quot;$&quot;#,##0.000_);\(&quot;$&quot;#,##0.000\)"/>
    <numFmt numFmtId="197" formatCode="#,##0.0\x_);\(#,##0.0\x\)"/>
    <numFmt numFmtId="198" formatCode="#,##0.00\x_);\(#,##0.00\x\)"/>
    <numFmt numFmtId="199" formatCode="[$€-2]\ #,##0_);\([$€-2]\ #,##0\)"/>
    <numFmt numFmtId="200" formatCode="[$€-2]\ #,##0.0_);\([$€-2]\ #,##0.0\)"/>
    <numFmt numFmtId="201" formatCode="_([$€-2]* #,##0.00_);_([$€-2]* \(#,##0.00\);_([$€-2]* &quot;-&quot;??_)"/>
    <numFmt numFmtId="202" formatCode="#,##0\x;\(#,##0\x\)"/>
    <numFmt numFmtId="203" formatCode="0.0\x;\(0.0\x\)"/>
    <numFmt numFmtId="204" formatCode="#,##0.00\x;\(#,##0.00\x\)"/>
    <numFmt numFmtId="205" formatCode="#,##0.000\x;\(#,##0.000\x\)"/>
    <numFmt numFmtId="206" formatCode="0.0_);\(0.0\)"/>
    <numFmt numFmtId="207" formatCode="0%;\(0%\)"/>
    <numFmt numFmtId="208" formatCode="0.0%;\(0.0%\)"/>
    <numFmt numFmtId="209" formatCode="0.00%_);\(0.00%\)"/>
    <numFmt numFmtId="210" formatCode="0.000%_);\(0.000%\)"/>
    <numFmt numFmtId="211" formatCode="_(0_)%;\(0\)%;\ \ ?_)%"/>
    <numFmt numFmtId="212" formatCode="_._._(* 0_)%;_._.* \(0\)%;_._._(* \ ?_)%"/>
    <numFmt numFmtId="213" formatCode="_(0.0_)%;\(0.0\)%;\ \ ?_)%"/>
    <numFmt numFmtId="214" formatCode="_._._(* 0.0_)%;_._.* \(0.0\)%;_._._(* \ ?_)%"/>
    <numFmt numFmtId="215" formatCode="_(0.00_)%;\(0.00\)%;\ \ ?_)%"/>
    <numFmt numFmtId="216" formatCode="_._._(* 0.00_)%;_._.* \(0.00\)%;_._._(* \ ?_)%"/>
    <numFmt numFmtId="217" formatCode="_(0.000_)%;\(0.000\)%;\ \ ?_)%"/>
    <numFmt numFmtId="218" formatCode="_._._(* 0.000_)%;_._.* \(0.000\)%;_._._(* \ ?_)%"/>
    <numFmt numFmtId="219" formatCode="_(0.0000_)%;\(0.0000\)%;\ \ ?_)%"/>
    <numFmt numFmtId="220" formatCode="_._._(* 0.0000_)%;_._.* \(0.0000\)%;_._._(* \ ?_)%"/>
    <numFmt numFmtId="221" formatCode="0.0%"/>
    <numFmt numFmtId="222" formatCode="_(* #,##0_);_(* \(#,##0\);_(* \ ?_)"/>
    <numFmt numFmtId="223" formatCode="_(* #,##0.0_);_(* \(#,##0.0\);_(* \ ?_)"/>
    <numFmt numFmtId="224" formatCode="_(* #,##0.00_);_(* \(#,##0.00\);_(* \ ?_)"/>
    <numFmt numFmtId="225" formatCode="_(* #,##0.000_);_(* \(#,##0.000\);_(* \ ?_)"/>
    <numFmt numFmtId="226" formatCode="_(&quot;$&quot;* #,##0_);_(&quot;$&quot;* \(#,##0\);_(&quot;$&quot;* \ ?_)"/>
    <numFmt numFmtId="227" formatCode="_(&quot;$&quot;* #,##0.0_);_(&quot;$&quot;* \(#,##0.0\);_(&quot;$&quot;* \ ?_)"/>
    <numFmt numFmtId="228" formatCode="_(&quot;$&quot;* #,##0.00_);_(&quot;$&quot;* \(#,##0.00\);_(&quot;$&quot;* \ ?_)"/>
    <numFmt numFmtId="229" formatCode="_(&quot;$&quot;* #,##0.000_);_(&quot;$&quot;* \(#,##0.000\);_(&quot;$&quot;* \ ?_)"/>
    <numFmt numFmtId="230" formatCode="0000&quot;A&quot;"/>
    <numFmt numFmtId="231" formatCode="0&quot;E&quot;"/>
    <numFmt numFmtId="232" formatCode="0000&quot;E&quot;"/>
    <numFmt numFmtId="233" formatCode="yyyy/mm"/>
  </numFmts>
  <fonts count="109">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b/>
      <sz val="10"/>
      <name val="Arial"/>
      <family val="2"/>
    </font>
    <font>
      <sz val="10"/>
      <name val="Arial"/>
      <family val="2"/>
    </font>
    <font>
      <sz val="12"/>
      <name val="Tms Rmn"/>
    </font>
    <font>
      <sz val="11"/>
      <name val="Tms Rmn"/>
    </font>
    <font>
      <sz val="10"/>
      <color indexed="8"/>
      <name val="Arial"/>
      <family val="2"/>
    </font>
    <font>
      <sz val="10"/>
      <name val="Helv"/>
    </font>
    <font>
      <sz val="11"/>
      <name val="Book Antiqua"/>
      <family val="1"/>
    </font>
    <font>
      <sz val="10"/>
      <name val="Courier"/>
      <family val="3"/>
    </font>
    <font>
      <sz val="8"/>
      <name val="Arial"/>
      <family val="2"/>
    </font>
    <font>
      <b/>
      <sz val="10"/>
      <name val="Times New Roman"/>
      <family val="1"/>
    </font>
    <font>
      <b/>
      <sz val="12"/>
      <name val="Arial"/>
      <family val="2"/>
    </font>
    <font>
      <sz val="7"/>
      <name val="Small Fonts"/>
      <family val="2"/>
    </font>
    <font>
      <b/>
      <i/>
      <sz val="16"/>
      <name val="Helv"/>
    </font>
    <font>
      <sz val="9"/>
      <name val="Arial"/>
      <family val="2"/>
    </font>
    <font>
      <sz val="14"/>
      <name val="Times New Roman"/>
      <family val="1"/>
    </font>
    <font>
      <sz val="10"/>
      <name val="MS Sans Serif"/>
      <family val="2"/>
    </font>
    <font>
      <b/>
      <sz val="10"/>
      <name val="MS Sans Serif"/>
      <family val="2"/>
    </font>
    <font>
      <b/>
      <sz val="10"/>
      <color indexed="10"/>
      <name val="Arial"/>
      <family val="2"/>
    </font>
    <font>
      <b/>
      <sz val="11"/>
      <name val="Times New Roman"/>
      <family val="1"/>
    </font>
    <font>
      <i/>
      <sz val="10"/>
      <name val="Arial"/>
      <family val="2"/>
    </font>
    <font>
      <b/>
      <sz val="11"/>
      <color indexed="8"/>
      <name val="Calibri"/>
      <family val="2"/>
    </font>
    <font>
      <u/>
      <sz val="11"/>
      <color indexed="8"/>
      <name val="Calibri"/>
      <family val="2"/>
    </font>
    <font>
      <sz val="10"/>
      <name val="Arial"/>
      <family val="2"/>
    </font>
    <font>
      <b/>
      <u/>
      <sz val="11"/>
      <color indexed="8"/>
      <name val="Calibri"/>
      <family val="2"/>
    </font>
    <font>
      <sz val="10"/>
      <color indexed="8"/>
      <name val="Tahoma"/>
      <family val="2"/>
    </font>
    <font>
      <sz val="10"/>
      <color indexed="8"/>
      <name val="Arial"/>
      <family val="2"/>
    </font>
    <font>
      <b/>
      <u/>
      <sz val="10"/>
      <name val="Arial"/>
      <family val="2"/>
    </font>
    <font>
      <u val="singleAccounting"/>
      <sz val="10"/>
      <color indexed="8"/>
      <name val="Arial"/>
      <family val="2"/>
    </font>
    <font>
      <b/>
      <sz val="10"/>
      <color indexed="8"/>
      <name val="Arial"/>
      <family val="2"/>
    </font>
    <font>
      <u/>
      <sz val="10"/>
      <color indexed="8"/>
      <name val="Arial"/>
      <family val="2"/>
    </font>
    <font>
      <sz val="12"/>
      <name val="Arial"/>
      <family val="2"/>
    </font>
    <font>
      <b/>
      <sz val="10"/>
      <color indexed="8"/>
      <name val="Tahoma"/>
      <family val="2"/>
    </font>
    <font>
      <sz val="10"/>
      <name val="Arial"/>
      <family val="2"/>
    </font>
    <font>
      <sz val="8"/>
      <name val="Calibri"/>
      <family val="2"/>
    </font>
    <font>
      <sz val="11"/>
      <color theme="1"/>
      <name val="Calibri"/>
      <family val="2"/>
      <scheme val="minor"/>
    </font>
    <font>
      <sz val="10"/>
      <color theme="1"/>
      <name val="Tahoma"/>
      <family val="2"/>
    </font>
    <font>
      <sz val="10"/>
      <color theme="1"/>
      <name val="Arial"/>
      <family val="2"/>
    </font>
    <font>
      <sz val="11"/>
      <color rgb="FF1F497D"/>
      <name val="Calibri"/>
      <family val="2"/>
      <scheme val="minor"/>
    </font>
    <font>
      <b/>
      <sz val="11"/>
      <color theme="1"/>
      <name val="Arial"/>
      <family val="2"/>
    </font>
    <font>
      <b/>
      <sz val="11"/>
      <name val="Arial"/>
      <family val="2"/>
    </font>
    <font>
      <b/>
      <sz val="11"/>
      <color indexed="8"/>
      <name val="Arial"/>
      <family val="2"/>
    </font>
    <font>
      <sz val="11"/>
      <color indexed="8"/>
      <name val="Arial"/>
      <family val="2"/>
    </font>
    <font>
      <sz val="10"/>
      <name val="Arial"/>
      <family val="2"/>
    </font>
    <font>
      <b/>
      <sz val="10"/>
      <name val="Arial MT"/>
    </font>
    <font>
      <sz val="12"/>
      <name val="Arial MT"/>
    </font>
    <font>
      <sz val="10"/>
      <name val="Arial MT"/>
    </font>
    <font>
      <i/>
      <sz val="11"/>
      <name val="Times New Roman"/>
      <family val="1"/>
    </font>
    <font>
      <b/>
      <sz val="9"/>
      <name val="Arial MT"/>
    </font>
    <font>
      <sz val="9"/>
      <name val="Arial MT"/>
    </font>
    <font>
      <b/>
      <sz val="10"/>
      <color theme="1"/>
      <name val="Tahoma"/>
      <family val="2"/>
    </font>
    <font>
      <sz val="11"/>
      <name val="Times New Roman"/>
      <family val="1"/>
    </font>
    <font>
      <sz val="10"/>
      <color indexed="12"/>
      <name val="Arial"/>
      <family val="2"/>
    </font>
    <font>
      <sz val="12"/>
      <name val="Times New Roman"/>
      <family val="1"/>
    </font>
    <font>
      <sz val="10"/>
      <color indexed="12"/>
      <name val="Times New Roman"/>
      <family val="1"/>
    </font>
    <font>
      <sz val="10"/>
      <name val="Times New Roman"/>
      <family val="1"/>
    </font>
    <font>
      <b/>
      <sz val="10"/>
      <color indexed="8"/>
      <name val="Times New Roman"/>
      <family val="1"/>
    </font>
    <font>
      <b/>
      <sz val="14"/>
      <name val="Arial"/>
      <family val="2"/>
    </font>
    <font>
      <b/>
      <i/>
      <sz val="14"/>
      <name val="Arial"/>
      <family val="2"/>
    </font>
    <font>
      <b/>
      <sz val="24"/>
      <name val="Arial Narrow"/>
      <family val="2"/>
    </font>
    <font>
      <b/>
      <i/>
      <sz val="12"/>
      <name val="Arial"/>
      <family val="2"/>
    </font>
    <font>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u val="singleAccounting"/>
      <sz val="11"/>
      <name val="Times New Roman"/>
      <family val="1"/>
    </font>
    <font>
      <i/>
      <sz val="8"/>
      <name val="Arial"/>
      <family val="2"/>
    </font>
    <font>
      <sz val="10"/>
      <name val="Book Antiqua"/>
      <family val="1"/>
    </font>
    <font>
      <sz val="10"/>
      <color indexed="42"/>
      <name val="Arial"/>
      <family val="2"/>
    </font>
    <font>
      <b/>
      <sz val="14"/>
      <name val="Book Antiqua"/>
      <family val="1"/>
    </font>
    <font>
      <i/>
      <sz val="10"/>
      <name val="Book Antiqua"/>
      <family val="1"/>
    </font>
    <font>
      <b/>
      <sz val="10"/>
      <color indexed="22"/>
      <name val="Arial"/>
      <family val="2"/>
    </font>
    <font>
      <sz val="8"/>
      <color indexed="22"/>
      <name val="Arial"/>
      <family val="2"/>
    </font>
    <font>
      <b/>
      <sz val="10"/>
      <color indexed="12"/>
      <name val="Arial"/>
      <family val="2"/>
    </font>
    <font>
      <sz val="10"/>
      <color indexed="12"/>
      <name val="Book Antiqua"/>
      <family val="1"/>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sz val="9"/>
      <name val="Times New Roman"/>
      <family val="1"/>
    </font>
    <font>
      <sz val="10"/>
      <color indexed="21"/>
      <name val="Arial"/>
      <family val="2"/>
    </font>
    <font>
      <b/>
      <sz val="8"/>
      <name val="Arial"/>
      <family val="2"/>
    </font>
    <font>
      <b/>
      <sz val="10"/>
      <color theme="1"/>
      <name val="Arial"/>
      <family val="2"/>
    </font>
    <font>
      <b/>
      <u/>
      <sz val="10"/>
      <color theme="1"/>
      <name val="Arial"/>
      <family val="2"/>
    </font>
    <font>
      <sz val="10"/>
      <color rgb="FF000000"/>
      <name val="Arial"/>
      <family val="2"/>
    </font>
    <font>
      <b/>
      <sz val="11"/>
      <color theme="1"/>
      <name val="Calibri"/>
      <family val="2"/>
      <scheme val="minor"/>
    </font>
    <font>
      <sz val="10"/>
      <name val="Arial"/>
      <family val="2"/>
    </font>
    <font>
      <b/>
      <i/>
      <sz val="10"/>
      <name val="Arial"/>
      <family val="2"/>
    </font>
    <font>
      <i/>
      <sz val="10"/>
      <name val="Segoe UI"/>
      <family val="2"/>
    </font>
    <font>
      <i/>
      <sz val="10"/>
      <name val="MS Sans Serif"/>
      <family val="2"/>
    </font>
    <font>
      <b/>
      <u val="singleAccounting"/>
      <sz val="10"/>
      <color indexed="8"/>
      <name val="Arial"/>
      <family val="2"/>
    </font>
    <font>
      <u val="singleAccounting"/>
      <sz val="10"/>
      <name val="Arial"/>
      <family val="2"/>
    </font>
    <font>
      <sz val="7"/>
      <color theme="1"/>
      <name val="Times New Roman"/>
      <family val="1"/>
    </font>
  </fonts>
  <fills count="14">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47"/>
        <bgColor indexed="64"/>
      </patternFill>
    </fill>
    <fill>
      <patternFill patternType="solid">
        <fgColor theme="4" tint="0.79998168889431442"/>
        <bgColor indexed="64"/>
      </patternFill>
    </fill>
    <fill>
      <patternFill patternType="solid">
        <fgColor theme="0"/>
        <bgColor indexed="64"/>
      </patternFill>
    </fill>
    <fill>
      <patternFill patternType="solid">
        <fgColor indexed="53"/>
        <bgColor indexed="64"/>
      </patternFill>
    </fill>
    <fill>
      <patternFill patternType="solid">
        <fgColor indexed="39"/>
        <bgColor indexed="64"/>
      </patternFill>
    </fill>
    <fill>
      <patternFill patternType="solid">
        <fgColor indexed="38"/>
        <bgColor indexed="64"/>
      </patternFill>
    </fill>
    <fill>
      <patternFill patternType="solid">
        <fgColor indexed="13"/>
        <bgColor indexed="64"/>
      </patternFill>
    </fill>
  </fills>
  <borders count="39">
    <border>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double">
        <color indexed="64"/>
      </top>
      <bottom/>
      <diagonal/>
    </border>
    <border>
      <left/>
      <right/>
      <top/>
      <bottom style="hair">
        <color indexed="64"/>
      </bottom>
      <diagonal/>
    </border>
    <border>
      <left/>
      <right/>
      <top/>
      <bottom style="hair">
        <color indexed="20"/>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83">
    <xf numFmtId="0" fontId="0" fillId="0" borderId="0"/>
    <xf numFmtId="0" fontId="11" fillId="0" borderId="0" applyNumberFormat="0" applyFill="0" applyBorder="0" applyAlignment="0" applyProtection="0"/>
    <xf numFmtId="165" fontId="12" fillId="0" borderId="0"/>
    <xf numFmtId="165" fontId="12" fillId="0" borderId="0"/>
    <xf numFmtId="165" fontId="12" fillId="0" borderId="0"/>
    <xf numFmtId="165" fontId="12" fillId="0" borderId="0"/>
    <xf numFmtId="165" fontId="12" fillId="0" borderId="0"/>
    <xf numFmtId="165" fontId="12" fillId="0" borderId="0"/>
    <xf numFmtId="165" fontId="12" fillId="0" borderId="0"/>
    <xf numFmtId="165" fontId="12" fillId="0" borderId="0"/>
    <xf numFmtId="41" fontId="13" fillId="0" borderId="0" applyFont="0" applyFill="0" applyBorder="0" applyAlignment="0" applyProtection="0"/>
    <xf numFmtId="41" fontId="34"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 fontId="14" fillId="0" borderId="0" applyFont="0" applyFill="0" applyBorder="0" applyAlignment="0" applyProtection="0"/>
    <xf numFmtId="43" fontId="33" fillId="0" borderId="0" applyFont="0" applyFill="0" applyBorder="0" applyAlignment="0" applyProtection="0"/>
    <xf numFmtId="0" fontId="14" fillId="0" borderId="0"/>
    <xf numFmtId="166" fontId="10" fillId="0" borderId="0" applyFont="0" applyFill="0" applyBorder="0" applyAlignment="0" applyProtection="0"/>
    <xf numFmtId="167" fontId="15"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8" fontId="14" fillId="0" borderId="0" applyFont="0" applyFill="0" applyBorder="0" applyAlignment="0" applyProtection="0"/>
    <xf numFmtId="44" fontId="34" fillId="0" borderId="0" applyFont="0" applyFill="0" applyBorder="0" applyAlignment="0" applyProtection="0"/>
    <xf numFmtId="0" fontId="16" fillId="0" borderId="0">
      <alignment horizontal="left"/>
    </xf>
    <xf numFmtId="164" fontId="15" fillId="0" borderId="0" applyFont="0" applyFill="0" applyBorder="0" applyAlignment="0" applyProtection="0"/>
    <xf numFmtId="168" fontId="10" fillId="0" borderId="0" applyFont="0" applyFill="0" applyBorder="0" applyAlignment="0" applyProtection="0">
      <alignment horizontal="center"/>
    </xf>
    <xf numFmtId="164" fontId="15" fillId="0" borderId="0" applyFont="0" applyFill="0" applyBorder="0" applyAlignment="0" applyProtection="0"/>
    <xf numFmtId="38" fontId="17" fillId="2" borderId="0" applyNumberFormat="0" applyBorder="0" applyAlignment="0" applyProtection="0"/>
    <xf numFmtId="0" fontId="18" fillId="0" borderId="1">
      <alignment horizontal="left"/>
    </xf>
    <xf numFmtId="0" fontId="19" fillId="0" borderId="2" applyNumberFormat="0" applyAlignment="0" applyProtection="0">
      <alignment horizontal="left" vertical="center"/>
    </xf>
    <xf numFmtId="0" fontId="19" fillId="0" borderId="3">
      <alignment horizontal="left" vertical="center"/>
    </xf>
    <xf numFmtId="14" fontId="9" fillId="3" borderId="4">
      <alignment horizontal="center" vertical="center" wrapText="1"/>
    </xf>
    <xf numFmtId="10" fontId="17" fillId="4" borderId="5" applyNumberFormat="0" applyBorder="0" applyAlignment="0" applyProtection="0"/>
    <xf numFmtId="37" fontId="20" fillId="0" borderId="0"/>
    <xf numFmtId="169" fontId="21" fillId="0" borderId="0"/>
    <xf numFmtId="0" fontId="10" fillId="0" borderId="0"/>
    <xf numFmtId="0" fontId="22" fillId="0" borderId="0"/>
    <xf numFmtId="0" fontId="31" fillId="0" borderId="0">
      <alignment vertical="top"/>
    </xf>
    <xf numFmtId="0" fontId="44" fillId="0" borderId="0"/>
    <xf numFmtId="0" fontId="44" fillId="0" borderId="0"/>
    <xf numFmtId="0" fontId="44" fillId="0" borderId="0"/>
    <xf numFmtId="0" fontId="44" fillId="0" borderId="0"/>
    <xf numFmtId="0" fontId="41" fillId="0" borderId="0"/>
    <xf numFmtId="0" fontId="10" fillId="0" borderId="0"/>
    <xf numFmtId="0" fontId="44" fillId="0" borderId="0"/>
    <xf numFmtId="0" fontId="8" fillId="0" borderId="0"/>
    <xf numFmtId="0" fontId="10" fillId="0" borderId="0">
      <alignment vertical="top"/>
    </xf>
    <xf numFmtId="0" fontId="10" fillId="0" borderId="0"/>
    <xf numFmtId="0" fontId="16" fillId="0" borderId="0"/>
    <xf numFmtId="0" fontId="10" fillId="0" borderId="0"/>
    <xf numFmtId="0" fontId="13" fillId="0" borderId="0"/>
    <xf numFmtId="0" fontId="22" fillId="0" borderId="0"/>
    <xf numFmtId="0" fontId="45" fillId="0" borderId="0"/>
    <xf numFmtId="0" fontId="10" fillId="0" borderId="0"/>
    <xf numFmtId="0" fontId="8" fillId="0" borderId="0"/>
    <xf numFmtId="0" fontId="8" fillId="0" borderId="0"/>
    <xf numFmtId="0" fontId="10" fillId="0" borderId="0">
      <alignment vertical="top"/>
    </xf>
    <xf numFmtId="0" fontId="10" fillId="0" borderId="0">
      <alignment vertical="top"/>
    </xf>
    <xf numFmtId="0" fontId="43" fillId="0" borderId="0"/>
    <xf numFmtId="0" fontId="43" fillId="0" borderId="0"/>
    <xf numFmtId="0" fontId="24" fillId="0" borderId="0"/>
    <xf numFmtId="0" fontId="24" fillId="0" borderId="0"/>
    <xf numFmtId="0" fontId="24" fillId="0" borderId="0"/>
    <xf numFmtId="170" fontId="23" fillId="5" borderId="0"/>
    <xf numFmtId="0" fontId="14" fillId="0" borderId="0"/>
    <xf numFmtId="171" fontId="24" fillId="0" borderId="0" applyFont="0" applyFill="0" applyBorder="0" applyAlignment="0" applyProtection="0"/>
    <xf numFmtId="10" fontId="10" fillId="0" borderId="0" applyFont="0" applyFill="0" applyBorder="0" applyAlignment="0" applyProtection="0"/>
    <xf numFmtId="9" fontId="8"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4" fontId="24" fillId="0" borderId="0" applyFont="0" applyFill="0" applyBorder="0" applyAlignment="0" applyProtection="0"/>
    <xf numFmtId="0" fontId="25" fillId="0" borderId="4">
      <alignment horizontal="center"/>
    </xf>
    <xf numFmtId="3" fontId="24" fillId="0" borderId="0" applyFont="0" applyFill="0" applyBorder="0" applyAlignment="0" applyProtection="0"/>
    <xf numFmtId="0" fontId="24" fillId="6" borderId="0" applyNumberFormat="0" applyFont="0" applyBorder="0" applyAlignment="0" applyProtection="0"/>
    <xf numFmtId="0" fontId="10" fillId="0" borderId="0" applyNumberFormat="0" applyFill="0" applyBorder="0" applyAlignment="0" applyProtection="0"/>
    <xf numFmtId="0" fontId="26" fillId="0" borderId="0" applyFill="0" applyBorder="0" applyProtection="0">
      <alignment horizontal="left" vertical="top"/>
    </xf>
    <xf numFmtId="40" fontId="27" fillId="0" borderId="0"/>
    <xf numFmtId="0" fontId="6" fillId="0" borderId="0"/>
    <xf numFmtId="43" fontId="43" fillId="0" borderId="0" applyFont="0" applyFill="0" applyBorder="0" applyAlignment="0" applyProtection="0"/>
    <xf numFmtId="0" fontId="10" fillId="0" borderId="0">
      <alignment vertical="top"/>
    </xf>
    <xf numFmtId="0" fontId="51" fillId="0" borderId="0">
      <alignment vertical="top"/>
    </xf>
    <xf numFmtId="0" fontId="13" fillId="0" borderId="0"/>
    <xf numFmtId="43" fontId="43" fillId="0" borderId="0" applyFont="0" applyFill="0" applyBorder="0" applyAlignment="0" applyProtection="0"/>
    <xf numFmtId="175" fontId="53" fillId="0" borderId="0" applyProtection="0"/>
    <xf numFmtId="44" fontId="10" fillId="0" borderId="0" applyFont="0" applyFill="0" applyBorder="0" applyAlignment="0" applyProtection="0"/>
    <xf numFmtId="9" fontId="53" fillId="0" borderId="0" applyFont="0" applyFill="0" applyBorder="0" applyAlignment="0" applyProtection="0"/>
    <xf numFmtId="0" fontId="10" fillId="0" borderId="0"/>
    <xf numFmtId="179" fontId="10" fillId="10" borderId="0" applyNumberFormat="0" applyFill="0" applyBorder="0" applyAlignment="0" applyProtection="0">
      <alignment horizontal="right" vertical="center"/>
    </xf>
    <xf numFmtId="179" fontId="60" fillId="0" borderId="0" applyNumberFormat="0" applyFill="0" applyBorder="0" applyAlignment="0" applyProtection="0"/>
    <xf numFmtId="0" fontId="10" fillId="0" borderId="6" applyNumberFormat="0" applyFont="0" applyFill="0" applyAlignment="0" applyProtection="0"/>
    <xf numFmtId="180" fontId="61" fillId="0" borderId="0" applyFont="0" applyFill="0" applyBorder="0" applyAlignment="0" applyProtection="0"/>
    <xf numFmtId="37" fontId="62" fillId="0" borderId="0" applyFont="0" applyFill="0" applyBorder="0" applyAlignment="0" applyProtection="0">
      <alignment vertical="center"/>
      <protection locked="0"/>
    </xf>
    <xf numFmtId="181" fontId="63" fillId="0" borderId="0" applyFont="0" applyFill="0" applyBorder="0" applyAlignment="0" applyProtection="0"/>
    <xf numFmtId="0" fontId="64" fillId="0" borderId="0"/>
    <xf numFmtId="175" fontId="17" fillId="0" borderId="0" applyFill="0"/>
    <xf numFmtId="175" fontId="17" fillId="0" borderId="0">
      <alignment horizontal="center"/>
    </xf>
    <xf numFmtId="0" fontId="17" fillId="0" borderId="0" applyFill="0">
      <alignment horizontal="center"/>
    </xf>
    <xf numFmtId="175" fontId="65" fillId="0" borderId="26" applyFill="0"/>
    <xf numFmtId="0" fontId="10" fillId="0" borderId="0" applyFont="0" applyAlignment="0"/>
    <xf numFmtId="0" fontId="66" fillId="0" borderId="0" applyFill="0">
      <alignment vertical="top"/>
    </xf>
    <xf numFmtId="0" fontId="65" fillId="0" borderId="0" applyFill="0">
      <alignment horizontal="left" vertical="top"/>
    </xf>
    <xf numFmtId="175" fontId="19" fillId="0" borderId="20" applyFill="0"/>
    <xf numFmtId="0" fontId="10" fillId="0" borderId="0" applyNumberFormat="0" applyFont="0" applyAlignment="0"/>
    <xf numFmtId="0" fontId="66" fillId="0" borderId="0" applyFill="0">
      <alignment wrapText="1"/>
    </xf>
    <xf numFmtId="0" fontId="65" fillId="0" borderId="0" applyFill="0">
      <alignment horizontal="left" vertical="top" wrapText="1"/>
    </xf>
    <xf numFmtId="175" fontId="48" fillId="0" borderId="0" applyFill="0"/>
    <xf numFmtId="0" fontId="67" fillId="0" borderId="0" applyNumberFormat="0" applyFont="0" applyAlignment="0">
      <alignment horizontal="center"/>
    </xf>
    <xf numFmtId="0" fontId="68" fillId="0" borderId="0" applyFill="0">
      <alignment vertical="top" wrapText="1"/>
    </xf>
    <xf numFmtId="0" fontId="19" fillId="0" borderId="0" applyFill="0">
      <alignment horizontal="left" vertical="top" wrapText="1"/>
    </xf>
    <xf numFmtId="175" fontId="10" fillId="0" borderId="0" applyFill="0"/>
    <xf numFmtId="0" fontId="67" fillId="0" borderId="0" applyNumberFormat="0" applyFont="0" applyAlignment="0">
      <alignment horizontal="center"/>
    </xf>
    <xf numFmtId="0" fontId="69" fillId="0" borderId="0" applyFill="0">
      <alignment vertical="center" wrapText="1"/>
    </xf>
    <xf numFmtId="0" fontId="39" fillId="0" borderId="0">
      <alignment horizontal="left" vertical="center" wrapText="1"/>
    </xf>
    <xf numFmtId="175" fontId="22" fillId="0" borderId="0" applyFill="0"/>
    <xf numFmtId="0" fontId="67" fillId="0" borderId="0" applyNumberFormat="0" applyFont="0" applyAlignment="0">
      <alignment horizontal="center"/>
    </xf>
    <xf numFmtId="0" fontId="28" fillId="0" borderId="0" applyFill="0">
      <alignment horizontal="center" vertical="center" wrapText="1"/>
    </xf>
    <xf numFmtId="0" fontId="10" fillId="0" borderId="0" applyFill="0">
      <alignment horizontal="center" vertical="center" wrapText="1"/>
    </xf>
    <xf numFmtId="175" fontId="70" fillId="0" borderId="0" applyFill="0"/>
    <xf numFmtId="0" fontId="67" fillId="0" borderId="0" applyNumberFormat="0" applyFont="0" applyAlignment="0">
      <alignment horizontal="center"/>
    </xf>
    <xf numFmtId="0" fontId="71" fillId="0" borderId="0" applyFill="0">
      <alignment horizontal="center" vertical="center" wrapText="1"/>
    </xf>
    <xf numFmtId="0" fontId="72" fillId="0" borderId="0" applyFill="0">
      <alignment horizontal="center" vertical="center" wrapText="1"/>
    </xf>
    <xf numFmtId="175" fontId="73" fillId="0" borderId="0" applyFill="0"/>
    <xf numFmtId="0" fontId="67" fillId="0" borderId="0" applyNumberFormat="0" applyFont="0" applyAlignment="0">
      <alignment horizontal="center"/>
    </xf>
    <xf numFmtId="0" fontId="74" fillId="0" borderId="0">
      <alignment horizontal="center" wrapText="1"/>
    </xf>
    <xf numFmtId="0" fontId="70" fillId="0" borderId="0" applyFill="0">
      <alignment horizontal="center" wrapText="1"/>
    </xf>
    <xf numFmtId="176" fontId="75" fillId="0" borderId="0" applyFont="0" applyFill="0" applyBorder="0" applyAlignment="0" applyProtection="0">
      <protection locked="0"/>
    </xf>
    <xf numFmtId="182" fontId="75" fillId="0" borderId="0" applyFont="0" applyFill="0" applyBorder="0" applyAlignment="0" applyProtection="0">
      <protection locked="0"/>
    </xf>
    <xf numFmtId="39" fontId="10" fillId="0" borderId="0" applyFont="0" applyFill="0" applyBorder="0" applyAlignment="0" applyProtection="0"/>
    <xf numFmtId="183" fontId="76" fillId="0" borderId="0" applyFont="0" applyFill="0" applyBorder="0" applyAlignment="0" applyProtection="0"/>
    <xf numFmtId="177" fontId="63" fillId="0" borderId="0" applyFont="0" applyFill="0" applyBorder="0" applyAlignment="0" applyProtection="0"/>
    <xf numFmtId="0" fontId="10" fillId="0" borderId="6" applyNumberFormat="0" applyFont="0" applyFill="0" applyBorder="0" applyProtection="0">
      <alignment horizontal="centerContinuous" vertical="center"/>
    </xf>
    <xf numFmtId="0" fontId="77" fillId="0" borderId="0" applyFill="0" applyBorder="0" applyProtection="0">
      <alignment horizontal="center"/>
      <protection locked="0"/>
    </xf>
    <xf numFmtId="184" fontId="59" fillId="0" borderId="0" applyFont="0" applyFill="0" applyBorder="0" applyAlignment="0" applyProtection="0"/>
    <xf numFmtId="185" fontId="78" fillId="0" borderId="0" applyFont="0" applyFill="0" applyBorder="0" applyAlignment="0" applyProtection="0"/>
    <xf numFmtId="186" fontId="78" fillId="0" borderId="0" applyFont="0" applyFill="0" applyBorder="0" applyAlignment="0" applyProtection="0"/>
    <xf numFmtId="187" fontId="48" fillId="0" borderId="0" applyFont="0" applyFill="0" applyBorder="0" applyAlignment="0" applyProtection="0">
      <protection locked="0"/>
    </xf>
    <xf numFmtId="43" fontId="63" fillId="0" borderId="0" applyFont="0" applyFill="0" applyBorder="0" applyAlignment="0" applyProtection="0"/>
    <xf numFmtId="3" fontId="10" fillId="0" borderId="0" applyFont="0" applyFill="0" applyBorder="0" applyAlignment="0" applyProtection="0"/>
    <xf numFmtId="0" fontId="65" fillId="0" borderId="0" applyFill="0" applyBorder="0" applyAlignment="0" applyProtection="0">
      <protection locked="0"/>
    </xf>
    <xf numFmtId="188" fontId="78" fillId="0" borderId="0" applyFont="0" applyFill="0" applyBorder="0" applyAlignment="0" applyProtection="0"/>
    <xf numFmtId="189" fontId="78" fillId="0" borderId="0" applyFont="0" applyFill="0" applyBorder="0" applyAlignment="0" applyProtection="0"/>
    <xf numFmtId="190" fontId="78" fillId="0" borderId="0" applyFont="0" applyFill="0" applyBorder="0" applyAlignment="0" applyProtection="0"/>
    <xf numFmtId="191" fontId="48" fillId="0" borderId="0" applyFont="0" applyFill="0" applyBorder="0" applyAlignment="0" applyProtection="0">
      <protection locked="0"/>
    </xf>
    <xf numFmtId="44" fontId="10" fillId="0" borderId="0" applyFont="0" applyFill="0" applyBorder="0" applyAlignment="0" applyProtection="0"/>
    <xf numFmtId="5" fontId="10" fillId="0" borderId="0" applyFont="0" applyFill="0" applyBorder="0" applyAlignment="0" applyProtection="0"/>
    <xf numFmtId="5" fontId="10" fillId="0" borderId="0" applyFont="0" applyFill="0" applyBorder="0" applyAlignment="0" applyProtection="0"/>
    <xf numFmtId="192" fontId="63" fillId="0" borderId="0" applyFont="0" applyFill="0" applyBorder="0" applyAlignment="0" applyProtection="0"/>
    <xf numFmtId="193" fontId="10" fillId="0" borderId="0" applyFont="0" applyFill="0" applyBorder="0" applyAlignment="0" applyProtection="0"/>
    <xf numFmtId="194" fontId="75" fillId="0" borderId="0" applyFont="0" applyFill="0" applyBorder="0" applyAlignment="0" applyProtection="0">
      <protection locked="0"/>
    </xf>
    <xf numFmtId="7" fontId="17" fillId="0" borderId="0" applyFont="0" applyFill="0" applyBorder="0" applyAlignment="0" applyProtection="0"/>
    <xf numFmtId="195" fontId="76" fillId="0" borderId="0" applyFont="0" applyFill="0" applyBorder="0" applyAlignment="0" applyProtection="0"/>
    <xf numFmtId="196" fontId="18" fillId="0" borderId="0" applyFont="0" applyFill="0" applyBorder="0" applyAlignment="0" applyProtection="0"/>
    <xf numFmtId="0" fontId="79" fillId="11" borderId="27" applyNumberFormat="0" applyFont="0" applyFill="0" applyAlignment="0" applyProtection="0">
      <alignment horizontal="left" indent="1"/>
    </xf>
    <xf numFmtId="14" fontId="10" fillId="0" borderId="0" applyFont="0" applyFill="0" applyBorder="0" applyAlignment="0" applyProtection="0"/>
    <xf numFmtId="5" fontId="80" fillId="0" borderId="0" applyBorder="0"/>
    <xf numFmtId="193" fontId="80" fillId="0" borderId="0" applyBorder="0"/>
    <xf numFmtId="7" fontId="80" fillId="0" borderId="0" applyBorder="0"/>
    <xf numFmtId="37" fontId="80" fillId="0" borderId="0" applyBorder="0"/>
    <xf numFmtId="176" fontId="80" fillId="0" borderId="0" applyBorder="0"/>
    <xf numFmtId="197" fontId="80" fillId="0" borderId="0" applyBorder="0"/>
    <xf numFmtId="39" fontId="80" fillId="0" borderId="0" applyBorder="0"/>
    <xf numFmtId="198" fontId="80" fillId="0" borderId="0" applyBorder="0"/>
    <xf numFmtId="7" fontId="10" fillId="0" borderId="0" applyFont="0" applyFill="0" applyBorder="0" applyAlignment="0" applyProtection="0"/>
    <xf numFmtId="199" fontId="63" fillId="0" borderId="0" applyFont="0" applyFill="0" applyBorder="0" applyAlignment="0" applyProtection="0"/>
    <xf numFmtId="200" fontId="63" fillId="0" borderId="0" applyFont="0" applyFill="0" applyAlignment="0" applyProtection="0"/>
    <xf numFmtId="199" fontId="63" fillId="0" borderId="0" applyFont="0" applyFill="0" applyBorder="0" applyAlignment="0" applyProtection="0"/>
    <xf numFmtId="201" fontId="17" fillId="0" borderId="0" applyFont="0" applyFill="0" applyBorder="0" applyAlignment="0" applyProtection="0"/>
    <xf numFmtId="2" fontId="10" fillId="0" borderId="0" applyFont="0" applyFill="0" applyBorder="0" applyAlignment="0" applyProtection="0"/>
    <xf numFmtId="176" fontId="81" fillId="0" borderId="0" applyNumberFormat="0" applyFill="0" applyBorder="0" applyAlignment="0" applyProtection="0"/>
    <xf numFmtId="0" fontId="17" fillId="0" borderId="0" applyFont="0" applyFill="0" applyBorder="0" applyAlignment="0" applyProtection="0"/>
    <xf numFmtId="0" fontId="81" fillId="0" borderId="0" applyNumberFormat="0" applyFill="0" applyBorder="0" applyAlignment="0" applyProtection="0"/>
    <xf numFmtId="0" fontId="77" fillId="0" borderId="0" applyFill="0" applyAlignment="0" applyProtection="0">
      <protection locked="0"/>
    </xf>
    <xf numFmtId="0" fontId="77" fillId="0" borderId="6" applyFill="0" applyAlignment="0" applyProtection="0">
      <protection locked="0"/>
    </xf>
    <xf numFmtId="0" fontId="82" fillId="0" borderId="4"/>
    <xf numFmtId="0" fontId="83" fillId="0" borderId="0"/>
    <xf numFmtId="0" fontId="84" fillId="0" borderId="6" applyNumberFormat="0" applyFill="0" applyAlignment="0" applyProtection="0"/>
    <xf numFmtId="0" fontId="85" fillId="12" borderId="0" applyNumberFormat="0" applyFont="0" applyBorder="0" applyAlignment="0" applyProtection="0"/>
    <xf numFmtId="0" fontId="86" fillId="13" borderId="5" applyNumberFormat="0" applyAlignment="0" applyProtection="0"/>
    <xf numFmtId="5" fontId="87" fillId="0" borderId="0" applyBorder="0"/>
    <xf numFmtId="193" fontId="87" fillId="0" borderId="0" applyBorder="0"/>
    <xf numFmtId="7" fontId="87" fillId="0" borderId="0" applyBorder="0"/>
    <xf numFmtId="37" fontId="87" fillId="0" borderId="0" applyBorder="0"/>
    <xf numFmtId="176" fontId="87" fillId="0" borderId="0" applyBorder="0"/>
    <xf numFmtId="197" fontId="87" fillId="0" borderId="0" applyBorder="0"/>
    <xf numFmtId="39" fontId="87" fillId="0" borderId="0" applyBorder="0"/>
    <xf numFmtId="198" fontId="87" fillId="0" borderId="0" applyBorder="0"/>
    <xf numFmtId="0" fontId="85" fillId="0" borderId="23" applyNumberFormat="0" applyFont="0" applyFill="0" applyAlignment="0" applyProtection="0"/>
    <xf numFmtId="202" fontId="10" fillId="0" borderId="0" applyFont="0" applyFill="0" applyBorder="0" applyAlignment="0" applyProtection="0"/>
    <xf numFmtId="203" fontId="10" fillId="0" borderId="0" applyFont="0" applyFill="0" applyBorder="0" applyAlignment="0" applyProtection="0"/>
    <xf numFmtId="204" fontId="10" fillId="0" borderId="0" applyFont="0" applyFill="0" applyBorder="0" applyAlignment="0" applyProtection="0"/>
    <xf numFmtId="205" fontId="10" fillId="0" borderId="0" applyFont="0" applyFill="0" applyBorder="0" applyAlignment="0" applyProtection="0"/>
    <xf numFmtId="206" fontId="10" fillId="0" borderId="0" applyFont="0" applyFill="0" applyBorder="0" applyAlignment="0" applyProtection="0"/>
    <xf numFmtId="0" fontId="10" fillId="0" borderId="0"/>
    <xf numFmtId="0" fontId="63" fillId="0" borderId="0"/>
    <xf numFmtId="0" fontId="10" fillId="0" borderId="0"/>
    <xf numFmtId="0" fontId="10" fillId="0" borderId="0"/>
    <xf numFmtId="207" fontId="10" fillId="0" borderId="0" applyFont="0" applyFill="0" applyBorder="0" applyAlignment="0" applyProtection="0"/>
    <xf numFmtId="208" fontId="22" fillId="5" borderId="0" applyFont="0" applyFill="0" applyBorder="0" applyAlignment="0" applyProtection="0"/>
    <xf numFmtId="209" fontId="22" fillId="5" borderId="0" applyFont="0" applyFill="0" applyBorder="0" applyAlignment="0" applyProtection="0"/>
    <xf numFmtId="210" fontId="10" fillId="0" borderId="0" applyFont="0" applyFill="0" applyBorder="0" applyAlignment="0" applyProtection="0"/>
    <xf numFmtId="211" fontId="78" fillId="0" borderId="0" applyFont="0" applyFill="0" applyBorder="0" applyAlignment="0" applyProtection="0"/>
    <xf numFmtId="212" fontId="59" fillId="0" borderId="0" applyFont="0" applyFill="0" applyBorder="0" applyAlignment="0" applyProtection="0"/>
    <xf numFmtId="213" fontId="78" fillId="0" borderId="0" applyFont="0" applyFill="0" applyBorder="0" applyAlignment="0" applyProtection="0"/>
    <xf numFmtId="214" fontId="59" fillId="0" borderId="0" applyFont="0" applyFill="0" applyBorder="0" applyAlignment="0" applyProtection="0"/>
    <xf numFmtId="215" fontId="78" fillId="0" borderId="0" applyFont="0" applyFill="0" applyBorder="0" applyAlignment="0" applyProtection="0"/>
    <xf numFmtId="216" fontId="59" fillId="0" borderId="0" applyFont="0" applyFill="0" applyBorder="0" applyAlignment="0" applyProtection="0"/>
    <xf numFmtId="217" fontId="78" fillId="0" borderId="0" applyFont="0" applyFill="0" applyBorder="0" applyAlignment="0" applyProtection="0"/>
    <xf numFmtId="218" fontId="59" fillId="0" borderId="0" applyFont="0" applyFill="0" applyBorder="0" applyAlignment="0" applyProtection="0"/>
    <xf numFmtId="219" fontId="48" fillId="0" borderId="0" applyFont="0" applyFill="0" applyBorder="0" applyAlignment="0" applyProtection="0">
      <protection locked="0"/>
    </xf>
    <xf numFmtId="220" fontId="5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0" fillId="0" borderId="0" applyBorder="0"/>
    <xf numFmtId="221" fontId="80" fillId="0" borderId="0" applyBorder="0"/>
    <xf numFmtId="10" fontId="80" fillId="0" borderId="0" applyBorder="0"/>
    <xf numFmtId="3" fontId="10" fillId="0" borderId="0">
      <alignment horizontal="left" vertical="top"/>
    </xf>
    <xf numFmtId="3" fontId="10" fillId="0" borderId="0">
      <alignment horizontal="right" vertical="top"/>
    </xf>
    <xf numFmtId="41" fontId="39" fillId="2" borderId="17" applyFill="0"/>
    <xf numFmtId="0" fontId="88" fillId="0" borderId="0">
      <alignment horizontal="left" indent="7"/>
    </xf>
    <xf numFmtId="41" fontId="39" fillId="0" borderId="17" applyFill="0">
      <alignment horizontal="left" indent="2"/>
    </xf>
    <xf numFmtId="175" fontId="77" fillId="0" borderId="6" applyFill="0">
      <alignment horizontal="right"/>
    </xf>
    <xf numFmtId="0" fontId="9" fillId="0" borderId="5" applyNumberFormat="0" applyFont="0" applyBorder="0">
      <alignment horizontal="right"/>
    </xf>
    <xf numFmtId="0" fontId="89" fillId="0" borderId="0" applyFill="0"/>
    <xf numFmtId="0" fontId="19" fillId="0" borderId="0" applyFill="0"/>
    <xf numFmtId="4" fontId="77" fillId="0" borderId="6" applyFill="0"/>
    <xf numFmtId="0" fontId="10" fillId="0" borderId="0" applyNumberFormat="0" applyFont="0" applyBorder="0" applyAlignment="0"/>
    <xf numFmtId="0" fontId="68" fillId="0" borderId="0" applyFill="0">
      <alignment horizontal="left" indent="1"/>
    </xf>
    <xf numFmtId="0" fontId="90" fillId="0" borderId="0" applyFill="0">
      <alignment horizontal="left" indent="1"/>
    </xf>
    <xf numFmtId="4" fontId="22" fillId="0" borderId="0" applyFill="0"/>
    <xf numFmtId="0" fontId="10" fillId="0" borderId="0" applyNumberFormat="0" applyFont="0" applyFill="0" applyBorder="0" applyAlignment="0"/>
    <xf numFmtId="0" fontId="68" fillId="0" borderId="0" applyFill="0">
      <alignment horizontal="left" indent="2"/>
    </xf>
    <xf numFmtId="0" fontId="19" fillId="0" borderId="0" applyFill="0">
      <alignment horizontal="left" indent="2"/>
    </xf>
    <xf numFmtId="4" fontId="22" fillId="0" borderId="0" applyFill="0"/>
    <xf numFmtId="0" fontId="10" fillId="0" borderId="0" applyNumberFormat="0" applyFont="0" applyBorder="0" applyAlignment="0"/>
    <xf numFmtId="0" fontId="91" fillId="0" borderId="0">
      <alignment horizontal="left" indent="3"/>
    </xf>
    <xf numFmtId="0" fontId="92" fillId="0" borderId="0" applyFill="0">
      <alignment horizontal="left" indent="3"/>
    </xf>
    <xf numFmtId="4" fontId="22" fillId="0" borderId="0" applyFill="0"/>
    <xf numFmtId="0" fontId="10" fillId="0" borderId="0" applyNumberFormat="0" applyFont="0" applyBorder="0" applyAlignment="0"/>
    <xf numFmtId="0" fontId="28" fillId="0" borderId="0">
      <alignment horizontal="left" indent="4"/>
    </xf>
    <xf numFmtId="0" fontId="10" fillId="0" borderId="0" applyFill="0">
      <alignment horizontal="left" indent="4"/>
    </xf>
    <xf numFmtId="4" fontId="70" fillId="0" borderId="0" applyFill="0"/>
    <xf numFmtId="0" fontId="10" fillId="0" borderId="0" applyNumberFormat="0" applyFont="0" applyBorder="0" applyAlignment="0"/>
    <xf numFmtId="0" fontId="71" fillId="0" borderId="0">
      <alignment horizontal="left" indent="5"/>
    </xf>
    <xf numFmtId="0" fontId="72" fillId="0" borderId="0" applyFill="0">
      <alignment horizontal="left" indent="5"/>
    </xf>
    <xf numFmtId="4" fontId="73" fillId="0" borderId="0" applyFill="0"/>
    <xf numFmtId="0" fontId="10" fillId="0" borderId="0" applyNumberFormat="0" applyFont="0" applyFill="0" applyBorder="0" applyAlignment="0"/>
    <xf numFmtId="0" fontId="74" fillId="0" borderId="0" applyFill="0">
      <alignment horizontal="left" indent="6"/>
    </xf>
    <xf numFmtId="0" fontId="70" fillId="0" borderId="0" applyFill="0">
      <alignment horizontal="left" indent="6"/>
    </xf>
    <xf numFmtId="0" fontId="85" fillId="0" borderId="24" applyNumberFormat="0" applyFont="0" applyFill="0" applyAlignment="0" applyProtection="0"/>
    <xf numFmtId="0" fontId="93" fillId="0" borderId="0" applyNumberFormat="0" applyFill="0" applyBorder="0" applyAlignment="0" applyProtection="0"/>
    <xf numFmtId="0" fontId="94" fillId="0" borderId="0"/>
    <xf numFmtId="0" fontId="85" fillId="11" borderId="0" applyNumberFormat="0" applyFont="0" applyBorder="0" applyAlignment="0" applyProtection="0"/>
    <xf numFmtId="208" fontId="95" fillId="0" borderId="3" applyNumberFormat="0" applyFont="0" applyFill="0" applyAlignment="0" applyProtection="0"/>
    <xf numFmtId="0" fontId="10" fillId="0" borderId="20" applyNumberFormat="0" applyFont="0" applyFill="0" applyAlignment="0" applyProtection="0"/>
    <xf numFmtId="0" fontId="96" fillId="0" borderId="0" applyNumberFormat="0" applyFill="0" applyBorder="0" applyAlignment="0" applyProtection="0"/>
    <xf numFmtId="222" fontId="59" fillId="0" borderId="0" applyFont="0" applyFill="0" applyBorder="0" applyAlignment="0" applyProtection="0"/>
    <xf numFmtId="223" fontId="59" fillId="0" borderId="0" applyFont="0" applyFill="0" applyBorder="0" applyAlignment="0" applyProtection="0"/>
    <xf numFmtId="224" fontId="59" fillId="0" borderId="0" applyFont="0" applyFill="0" applyBorder="0" applyAlignment="0" applyProtection="0"/>
    <xf numFmtId="225" fontId="59" fillId="0" borderId="0" applyFont="0" applyFill="0" applyBorder="0" applyAlignment="0" applyProtection="0"/>
    <xf numFmtId="226" fontId="59" fillId="0" borderId="0" applyFont="0" applyFill="0" applyBorder="0" applyAlignment="0" applyProtection="0"/>
    <xf numFmtId="227" fontId="59" fillId="0" borderId="0" applyFont="0" applyFill="0" applyBorder="0" applyAlignment="0" applyProtection="0"/>
    <xf numFmtId="228" fontId="59" fillId="0" borderId="0" applyFont="0" applyFill="0" applyBorder="0" applyAlignment="0" applyProtection="0"/>
    <xf numFmtId="229" fontId="59" fillId="0" borderId="0" applyFont="0" applyFill="0" applyBorder="0" applyAlignment="0" applyProtection="0"/>
    <xf numFmtId="230" fontId="97" fillId="11" borderId="28" applyFont="0" applyFill="0" applyBorder="0" applyAlignment="0" applyProtection="0"/>
    <xf numFmtId="230" fontId="63" fillId="0" borderId="0" applyFont="0" applyFill="0" applyBorder="0" applyAlignment="0" applyProtection="0"/>
    <xf numFmtId="231" fontId="76" fillId="0" borderId="0" applyFont="0" applyFill="0" applyBorder="0" applyAlignment="0" applyProtection="0"/>
    <xf numFmtId="232" fontId="18" fillId="0" borderId="3" applyFont="0" applyFill="0" applyBorder="0" applyAlignment="0" applyProtection="0">
      <alignment horizontal="right"/>
      <protection locked="0"/>
    </xf>
    <xf numFmtId="0" fontId="44" fillId="0" borderId="0"/>
    <xf numFmtId="43" fontId="44" fillId="0" borderId="0" applyFont="0" applyFill="0" applyBorder="0" applyAlignment="0" applyProtection="0"/>
    <xf numFmtId="0" fontId="44" fillId="0" borderId="0"/>
    <xf numFmtId="43" fontId="44" fillId="0" borderId="0" applyFont="0" applyFill="0" applyBorder="0" applyAlignment="0" applyProtection="0"/>
    <xf numFmtId="0" fontId="44" fillId="0" borderId="0"/>
    <xf numFmtId="43" fontId="44" fillId="0" borderId="0" applyFont="0" applyFill="0" applyBorder="0" applyAlignment="0" applyProtection="0"/>
    <xf numFmtId="0" fontId="7" fillId="0" borderId="0"/>
    <xf numFmtId="0" fontId="102" fillId="0" borderId="0"/>
  </cellStyleXfs>
  <cellXfs count="520">
    <xf numFmtId="0" fontId="0" fillId="0" borderId="0" xfId="0"/>
    <xf numFmtId="0" fontId="9" fillId="0" borderId="0" xfId="66" applyFont="1" applyFill="1" applyAlignment="1">
      <alignment horizontal="centerContinuous"/>
    </xf>
    <xf numFmtId="0" fontId="10" fillId="0" borderId="0" xfId="66" applyFont="1" applyFill="1" applyAlignment="1">
      <alignment horizontal="centerContinuous"/>
    </xf>
    <xf numFmtId="0" fontId="10" fillId="0" borderId="0" xfId="39" applyFont="1"/>
    <xf numFmtId="0" fontId="9" fillId="0" borderId="0" xfId="66" applyFont="1" applyAlignment="1">
      <alignment horizontal="centerContinuous"/>
    </xf>
    <xf numFmtId="0" fontId="10" fillId="0" borderId="0" xfId="66" applyFont="1" applyFill="1"/>
    <xf numFmtId="0" fontId="10" fillId="0" borderId="0" xfId="66" applyFont="1" applyFill="1" applyAlignment="1">
      <alignment horizontal="center"/>
    </xf>
    <xf numFmtId="17" fontId="10" fillId="0" borderId="0" xfId="66" applyNumberFormat="1" applyFont="1" applyFill="1" applyAlignment="1">
      <alignment horizontal="center"/>
    </xf>
    <xf numFmtId="164" fontId="10" fillId="0" borderId="0" xfId="14" applyNumberFormat="1" applyFont="1" applyFill="1"/>
    <xf numFmtId="0" fontId="10" fillId="0" borderId="0" xfId="66" quotePrefix="1" applyFont="1" applyFill="1" applyAlignment="1">
      <alignment horizontal="left"/>
    </xf>
    <xf numFmtId="164" fontId="10" fillId="0" borderId="6" xfId="14" applyNumberFormat="1" applyFont="1" applyFill="1" applyBorder="1"/>
    <xf numFmtId="0" fontId="10" fillId="0" borderId="0" xfId="66" applyFont="1" applyFill="1" applyAlignment="1">
      <alignment horizontal="left"/>
    </xf>
    <xf numFmtId="0" fontId="9" fillId="0" borderId="7" xfId="66" applyFont="1" applyFill="1" applyBorder="1"/>
    <xf numFmtId="164" fontId="9" fillId="0" borderId="8" xfId="14" applyNumberFormat="1" applyFont="1" applyFill="1" applyBorder="1"/>
    <xf numFmtId="0" fontId="10" fillId="0" borderId="0" xfId="66" quotePrefix="1" applyFont="1" applyFill="1"/>
    <xf numFmtId="0" fontId="10" fillId="0" borderId="0" xfId="39" applyFont="1" applyProtection="1">
      <protection locked="0"/>
    </xf>
    <xf numFmtId="0" fontId="9" fillId="0" borderId="6" xfId="39" applyFont="1" applyBorder="1" applyAlignment="1" applyProtection="1">
      <alignment horizontal="center"/>
      <protection locked="0"/>
    </xf>
    <xf numFmtId="0" fontId="10" fillId="0" borderId="0" xfId="39" quotePrefix="1" applyFont="1" applyAlignment="1" applyProtection="1">
      <alignment horizontal="left"/>
      <protection locked="0"/>
    </xf>
    <xf numFmtId="0" fontId="13" fillId="0" borderId="0" xfId="58" applyFont="1"/>
    <xf numFmtId="0" fontId="13" fillId="0" borderId="0" xfId="58" applyFont="1" applyAlignment="1">
      <alignment horizontal="left"/>
    </xf>
    <xf numFmtId="0" fontId="13" fillId="0" borderId="0" xfId="58" quotePrefix="1" applyFont="1" applyAlignment="1">
      <alignment horizontal="left"/>
    </xf>
    <xf numFmtId="0" fontId="13" fillId="0" borderId="0" xfId="58" applyFont="1" applyBorder="1" applyAlignment="1">
      <alignment horizontal="left"/>
    </xf>
    <xf numFmtId="164" fontId="13" fillId="0" borderId="0" xfId="58" applyNumberFormat="1" applyFont="1" applyBorder="1" applyAlignment="1">
      <alignment horizontal="left"/>
    </xf>
    <xf numFmtId="0" fontId="13" fillId="0" borderId="0" xfId="58" applyFont="1" applyFill="1"/>
    <xf numFmtId="164" fontId="13" fillId="0" borderId="0" xfId="58" applyNumberFormat="1" applyFont="1"/>
    <xf numFmtId="164" fontId="13" fillId="0" borderId="0" xfId="58" applyNumberFormat="1" applyFont="1" applyFill="1"/>
    <xf numFmtId="0" fontId="30" fillId="0" borderId="0" xfId="0" applyFont="1" applyAlignment="1">
      <alignment horizontal="center"/>
    </xf>
    <xf numFmtId="0" fontId="30" fillId="0" borderId="0" xfId="0" applyFont="1"/>
    <xf numFmtId="0" fontId="30" fillId="0" borderId="0" xfId="0" quotePrefix="1" applyFont="1" applyAlignment="1">
      <alignment horizontal="center"/>
    </xf>
    <xf numFmtId="0" fontId="30" fillId="0" borderId="12" xfId="0" applyFont="1" applyBorder="1" applyAlignment="1">
      <alignment horizontal="center"/>
    </xf>
    <xf numFmtId="0" fontId="0" fillId="0" borderId="13" xfId="0" applyBorder="1"/>
    <xf numFmtId="0" fontId="10" fillId="0" borderId="0" xfId="41" applyFont="1" applyAlignment="1">
      <alignment vertical="top"/>
    </xf>
    <xf numFmtId="0" fontId="10" fillId="0" borderId="0" xfId="41" applyFont="1" applyFill="1" applyAlignment="1">
      <alignment vertical="top"/>
    </xf>
    <xf numFmtId="39" fontId="10" fillId="0" borderId="0" xfId="41" applyNumberFormat="1" applyFont="1" applyFill="1" applyAlignment="1">
      <alignment vertical="top"/>
    </xf>
    <xf numFmtId="39" fontId="9" fillId="0" borderId="0" xfId="41" applyNumberFormat="1" applyFont="1" applyFill="1" applyAlignment="1">
      <alignment vertical="top"/>
    </xf>
    <xf numFmtId="0" fontId="9" fillId="0" borderId="0" xfId="41" applyFont="1" applyFill="1" applyAlignment="1">
      <alignment vertical="top"/>
    </xf>
    <xf numFmtId="0" fontId="9" fillId="0" borderId="0" xfId="41" applyFont="1" applyFill="1" applyAlignment="1">
      <alignment horizontal="right" vertical="top"/>
    </xf>
    <xf numFmtId="0" fontId="9" fillId="7" borderId="0" xfId="41" applyFont="1" applyFill="1" applyAlignment="1">
      <alignment vertical="top"/>
    </xf>
    <xf numFmtId="0" fontId="9" fillId="0" borderId="0" xfId="41" applyFont="1" applyAlignment="1">
      <alignment horizontal="center" vertical="top"/>
    </xf>
    <xf numFmtId="0" fontId="9" fillId="0" borderId="0" xfId="41" pivotButton="1" applyFont="1" applyAlignment="1">
      <alignment horizontal="center" vertical="top"/>
    </xf>
    <xf numFmtId="37" fontId="10" fillId="0" borderId="0" xfId="41" applyNumberFormat="1" applyFont="1" applyAlignment="1">
      <alignment vertical="top"/>
    </xf>
    <xf numFmtId="37" fontId="9" fillId="7" borderId="0" xfId="41" applyNumberFormat="1" applyFont="1" applyFill="1" applyAlignment="1">
      <alignment vertical="top"/>
    </xf>
    <xf numFmtId="0" fontId="10" fillId="0" borderId="0" xfId="50" applyAlignment="1"/>
    <xf numFmtId="0" fontId="8" fillId="0" borderId="0" xfId="58"/>
    <xf numFmtId="0" fontId="29" fillId="0" borderId="6" xfId="50" applyFont="1" applyBorder="1" applyAlignment="1"/>
    <xf numFmtId="0" fontId="29" fillId="0" borderId="0" xfId="50" applyFont="1" applyAlignment="1">
      <alignment horizontal="center"/>
    </xf>
    <xf numFmtId="0" fontId="29" fillId="0" borderId="12" xfId="50" applyFont="1" applyBorder="1" applyAlignment="1">
      <alignment horizontal="center"/>
    </xf>
    <xf numFmtId="0" fontId="32" fillId="0" borderId="0" xfId="50" applyFont="1" applyAlignment="1">
      <alignment horizontal="center"/>
    </xf>
    <xf numFmtId="0" fontId="9" fillId="0" borderId="0" xfId="50" applyFont="1" applyAlignment="1"/>
    <xf numFmtId="43" fontId="0" fillId="0" borderId="0" xfId="14" applyFont="1"/>
    <xf numFmtId="0" fontId="10" fillId="0" borderId="0" xfId="50" quotePrefix="1" applyAlignment="1">
      <alignment horizontal="left"/>
    </xf>
    <xf numFmtId="0" fontId="9" fillId="0" borderId="0" xfId="50" quotePrefix="1" applyFont="1" applyAlignment="1">
      <alignment horizontal="left"/>
    </xf>
    <xf numFmtId="0" fontId="9" fillId="0" borderId="0" xfId="64" applyFont="1" applyAlignment="1">
      <alignment horizontal="centerContinuous"/>
    </xf>
    <xf numFmtId="0" fontId="10" fillId="0" borderId="0" xfId="64" applyFont="1" applyAlignment="1">
      <alignment horizontal="centerContinuous"/>
    </xf>
    <xf numFmtId="40" fontId="10" fillId="0" borderId="0" xfId="64" applyNumberFormat="1" applyFont="1" applyAlignment="1">
      <alignment horizontal="centerContinuous"/>
    </xf>
    <xf numFmtId="0" fontId="10" fillId="0" borderId="0" xfId="64" applyFont="1"/>
    <xf numFmtId="0" fontId="35" fillId="0" borderId="0" xfId="64" applyFont="1" applyAlignment="1">
      <alignment horizontal="center"/>
    </xf>
    <xf numFmtId="0" fontId="10" fillId="0" borderId="0" xfId="64" applyFont="1" applyAlignment="1" applyProtection="1">
      <alignment horizontal="left"/>
    </xf>
    <xf numFmtId="10" fontId="10" fillId="0" borderId="0" xfId="64" applyNumberFormat="1" applyFont="1"/>
    <xf numFmtId="10" fontId="10" fillId="0" borderId="0" xfId="64" applyNumberFormat="1" applyFont="1" applyAlignment="1" applyProtection="1"/>
    <xf numFmtId="37" fontId="10" fillId="0" borderId="0" xfId="64" applyNumberFormat="1" applyFont="1" applyProtection="1"/>
    <xf numFmtId="37" fontId="10" fillId="0" borderId="0" xfId="64" applyNumberFormat="1" applyFont="1" applyAlignment="1" applyProtection="1">
      <alignment horizontal="left"/>
    </xf>
    <xf numFmtId="0" fontId="10" fillId="0" borderId="0" xfId="64" quotePrefix="1" applyFont="1" applyAlignment="1">
      <alignment horizontal="left"/>
    </xf>
    <xf numFmtId="164" fontId="37" fillId="0" borderId="15" xfId="62" applyNumberFormat="1" applyFont="1" applyFill="1" applyBorder="1"/>
    <xf numFmtId="0" fontId="34" fillId="0" borderId="0" xfId="56" applyFont="1" applyAlignment="1">
      <alignment horizontal="center" wrapText="1"/>
    </xf>
    <xf numFmtId="14" fontId="38" fillId="0" borderId="0" xfId="56" applyNumberFormat="1" applyFont="1" applyAlignment="1">
      <alignment horizontal="center"/>
    </xf>
    <xf numFmtId="0" fontId="38" fillId="0" borderId="0" xfId="56" applyFont="1" applyAlignment="1">
      <alignment horizontal="center"/>
    </xf>
    <xf numFmtId="41" fontId="37" fillId="0" borderId="8" xfId="56" applyNumberFormat="1" applyFont="1" applyBorder="1"/>
    <xf numFmtId="0" fontId="34" fillId="0" borderId="7" xfId="56" applyFont="1" applyBorder="1"/>
    <xf numFmtId="0" fontId="34" fillId="0" borderId="0" xfId="56" applyFont="1" applyBorder="1"/>
    <xf numFmtId="0" fontId="34" fillId="0" borderId="0" xfId="56" applyFont="1"/>
    <xf numFmtId="41" fontId="34" fillId="0" borderId="0" xfId="56" applyNumberFormat="1" applyFont="1"/>
    <xf numFmtId="41" fontId="34" fillId="0" borderId="0" xfId="11" applyFont="1"/>
    <xf numFmtId="41" fontId="34" fillId="0" borderId="11" xfId="11" applyFont="1" applyBorder="1"/>
    <xf numFmtId="10" fontId="34" fillId="0" borderId="0" xfId="72" applyNumberFormat="1" applyFont="1"/>
    <xf numFmtId="41" fontId="34" fillId="0" borderId="0" xfId="11" applyFont="1" applyBorder="1"/>
    <xf numFmtId="41" fontId="34" fillId="0" borderId="2" xfId="11" applyFont="1" applyBorder="1"/>
    <xf numFmtId="37" fontId="10" fillId="0" borderId="13" xfId="14" applyNumberFormat="1" applyFont="1" applyBorder="1" applyProtection="1">
      <protection locked="0"/>
    </xf>
    <xf numFmtId="37" fontId="10" fillId="0" borderId="0" xfId="14" applyNumberFormat="1" applyFont="1" applyProtection="1">
      <protection locked="0"/>
    </xf>
    <xf numFmtId="37" fontId="9" fillId="0" borderId="13" xfId="14" applyNumberFormat="1" applyFont="1" applyBorder="1" applyProtection="1">
      <protection locked="0"/>
    </xf>
    <xf numFmtId="37" fontId="10" fillId="0" borderId="14" xfId="14" applyNumberFormat="1" applyFont="1" applyBorder="1" applyProtection="1">
      <protection locked="0"/>
    </xf>
    <xf numFmtId="37" fontId="10" fillId="0" borderId="11" xfId="14" applyNumberFormat="1" applyFont="1" applyBorder="1" applyProtection="1">
      <protection locked="0"/>
    </xf>
    <xf numFmtId="37" fontId="29" fillId="0" borderId="13" xfId="0" applyNumberFormat="1" applyFont="1" applyBorder="1"/>
    <xf numFmtId="37" fontId="0" fillId="0" borderId="0" xfId="0" applyNumberFormat="1"/>
    <xf numFmtId="37" fontId="29" fillId="0" borderId="14" xfId="0" applyNumberFormat="1" applyFont="1" applyBorder="1"/>
    <xf numFmtId="37" fontId="0" fillId="0" borderId="11" xfId="0" applyNumberFormat="1" applyBorder="1"/>
    <xf numFmtId="37" fontId="9" fillId="0" borderId="0" xfId="41" applyNumberFormat="1" applyFont="1" applyFill="1" applyAlignment="1">
      <alignment vertical="top"/>
    </xf>
    <xf numFmtId="164" fontId="10" fillId="0" borderId="2" xfId="14" applyNumberFormat="1" applyFont="1" applyFill="1" applyBorder="1"/>
    <xf numFmtId="0" fontId="10" fillId="0" borderId="0" xfId="53"/>
    <xf numFmtId="0" fontId="9" fillId="0" borderId="0" xfId="53" applyFont="1"/>
    <xf numFmtId="17" fontId="9" fillId="0" borderId="0" xfId="66" applyNumberFormat="1" applyFont="1" applyAlignment="1">
      <alignment horizontal="center"/>
    </xf>
    <xf numFmtId="43" fontId="0" fillId="0" borderId="0" xfId="13" applyFont="1" applyBorder="1" applyAlignment="1">
      <alignment horizontal="center"/>
    </xf>
    <xf numFmtId="0" fontId="10" fillId="0" borderId="0" xfId="53" applyAlignment="1">
      <alignment horizontal="left" indent="1"/>
    </xf>
    <xf numFmtId="37" fontId="0" fillId="0" borderId="0" xfId="13" applyNumberFormat="1" applyFont="1"/>
    <xf numFmtId="37" fontId="29" fillId="0" borderId="0" xfId="13" applyNumberFormat="1" applyFont="1"/>
    <xf numFmtId="37" fontId="0" fillId="0" borderId="0" xfId="13" applyNumberFormat="1" applyFont="1" applyBorder="1"/>
    <xf numFmtId="37" fontId="0" fillId="0" borderId="6" xfId="13" applyNumberFormat="1" applyFont="1" applyBorder="1"/>
    <xf numFmtId="43" fontId="10" fillId="0" borderId="0" xfId="53" applyNumberFormat="1"/>
    <xf numFmtId="37" fontId="0" fillId="0" borderId="0" xfId="13" applyNumberFormat="1" applyFont="1" applyBorder="1" applyAlignment="1">
      <alignment horizontal="center"/>
    </xf>
    <xf numFmtId="43" fontId="0" fillId="0" borderId="0" xfId="13" applyFont="1"/>
    <xf numFmtId="0" fontId="9" fillId="0" borderId="0" xfId="53" quotePrefix="1" applyFont="1" applyAlignment="1">
      <alignment horizontal="left"/>
    </xf>
    <xf numFmtId="37" fontId="0" fillId="0" borderId="0" xfId="13" quotePrefix="1" applyNumberFormat="1" applyFont="1" applyAlignment="1">
      <alignment horizontal="center"/>
    </xf>
    <xf numFmtId="37" fontId="10" fillId="0" borderId="0" xfId="53" applyNumberFormat="1"/>
    <xf numFmtId="37" fontId="7" fillId="0" borderId="0" xfId="13" applyNumberFormat="1" applyFont="1"/>
    <xf numFmtId="0" fontId="40" fillId="0" borderId="0" xfId="45" applyFont="1"/>
    <xf numFmtId="0" fontId="40" fillId="0" borderId="6" xfId="45" applyFont="1" applyBorder="1"/>
    <xf numFmtId="0" fontId="40" fillId="0" borderId="6" xfId="45" quotePrefix="1" applyFont="1" applyFill="1" applyBorder="1" applyAlignment="1">
      <alignment horizontal="center"/>
    </xf>
    <xf numFmtId="164" fontId="44" fillId="0" borderId="0" xfId="48" applyNumberFormat="1"/>
    <xf numFmtId="164" fontId="44" fillId="0" borderId="11" xfId="48" applyNumberFormat="1" applyBorder="1"/>
    <xf numFmtId="0" fontId="0" fillId="0" borderId="0" xfId="0" quotePrefix="1" applyAlignment="1">
      <alignment horizontal="left"/>
    </xf>
    <xf numFmtId="0" fontId="44" fillId="0" borderId="0" xfId="44"/>
    <xf numFmtId="164" fontId="44" fillId="0" borderId="0" xfId="44" applyNumberFormat="1"/>
    <xf numFmtId="164" fontId="44" fillId="0" borderId="11" xfId="44" applyNumberFormat="1" applyBorder="1"/>
    <xf numFmtId="0" fontId="37" fillId="0" borderId="0" xfId="56" applyFont="1"/>
    <xf numFmtId="0" fontId="45" fillId="0" borderId="0" xfId="56"/>
    <xf numFmtId="174" fontId="45" fillId="0" borderId="0" xfId="56" applyNumberFormat="1"/>
    <xf numFmtId="0" fontId="10" fillId="0" borderId="0" xfId="47"/>
    <xf numFmtId="0" fontId="9" fillId="0" borderId="0" xfId="47" applyFont="1" applyAlignment="1">
      <alignment horizontal="center"/>
    </xf>
    <xf numFmtId="0" fontId="9" fillId="0" borderId="0" xfId="40" applyFont="1" applyFill="1" applyAlignment="1"/>
    <xf numFmtId="0" fontId="46" fillId="0" borderId="0" xfId="0" applyFont="1"/>
    <xf numFmtId="0" fontId="48" fillId="0" borderId="0" xfId="0" applyFont="1" applyFill="1" applyBorder="1" applyAlignment="1">
      <alignment vertical="top"/>
    </xf>
    <xf numFmtId="0" fontId="10" fillId="0" borderId="0" xfId="50" applyFont="1" applyAlignment="1">
      <alignment horizontal="right" vertical="top"/>
    </xf>
    <xf numFmtId="0" fontId="10" fillId="0" borderId="0" xfId="87" applyFont="1" applyAlignment="1">
      <alignment vertical="top"/>
    </xf>
    <xf numFmtId="0" fontId="10" fillId="0" borderId="16" xfId="87" applyFont="1" applyBorder="1" applyAlignment="1">
      <alignment vertical="top"/>
    </xf>
    <xf numFmtId="0" fontId="10" fillId="0" borderId="0" xfId="87" applyFont="1" applyFill="1" applyAlignment="1">
      <alignment vertical="top"/>
    </xf>
    <xf numFmtId="0" fontId="10" fillId="0" borderId="19" xfId="87" applyFont="1" applyBorder="1" applyAlignment="1">
      <alignment horizontal="center" vertical="top"/>
    </xf>
    <xf numFmtId="0" fontId="10" fillId="0" borderId="0" xfId="87" applyFont="1" applyFill="1" applyAlignment="1">
      <alignment horizontal="center" vertical="top"/>
    </xf>
    <xf numFmtId="0" fontId="9" fillId="0" borderId="0" xfId="87" quotePrefix="1" applyFont="1" applyAlignment="1">
      <alignment horizontal="left" vertical="top"/>
    </xf>
    <xf numFmtId="0" fontId="9" fillId="0" borderId="0" xfId="87" quotePrefix="1" applyFont="1" applyFill="1" applyAlignment="1">
      <alignment horizontal="left" vertical="top"/>
    </xf>
    <xf numFmtId="0" fontId="9" fillId="8" borderId="0" xfId="87" quotePrefix="1" applyFont="1" applyFill="1" applyAlignment="1">
      <alignment horizontal="left" vertical="top"/>
    </xf>
    <xf numFmtId="0" fontId="10" fillId="8" borderId="0" xfId="87" applyFont="1" applyFill="1" applyAlignment="1">
      <alignment vertical="top"/>
    </xf>
    <xf numFmtId="0" fontId="10" fillId="0" borderId="0" xfId="87" quotePrefix="1" applyFont="1" applyAlignment="1">
      <alignment horizontal="left" vertical="top" indent="1"/>
    </xf>
    <xf numFmtId="0" fontId="10" fillId="8" borderId="0" xfId="87" applyFont="1" applyFill="1" applyAlignment="1">
      <alignment horizontal="left" vertical="top" indent="2"/>
    </xf>
    <xf numFmtId="0" fontId="10" fillId="0" borderId="0" xfId="87" applyFont="1" applyAlignment="1">
      <alignment horizontal="left" vertical="top" indent="2"/>
    </xf>
    <xf numFmtId="14" fontId="10" fillId="0" borderId="0" xfId="50" applyNumberFormat="1" applyFont="1" applyAlignment="1">
      <alignment horizontal="right" vertical="top"/>
    </xf>
    <xf numFmtId="14" fontId="10" fillId="0" borderId="0" xfId="50" quotePrefix="1" applyNumberFormat="1" applyFont="1" applyAlignment="1">
      <alignment horizontal="right" vertical="top"/>
    </xf>
    <xf numFmtId="175" fontId="54" fillId="0" borderId="0" xfId="91" applyFont="1" applyFill="1" applyAlignment="1"/>
    <xf numFmtId="175" fontId="52" fillId="0" borderId="0" xfId="91" applyFont="1" applyFill="1" applyAlignment="1">
      <alignment horizontal="left"/>
    </xf>
    <xf numFmtId="14" fontId="55" fillId="0" borderId="0" xfId="91" quotePrefix="1" applyNumberFormat="1" applyFont="1" applyFill="1" applyAlignment="1" applyProtection="1">
      <alignment horizontal="right"/>
      <protection locked="0"/>
    </xf>
    <xf numFmtId="175" fontId="54" fillId="0" borderId="0" xfId="91" applyFont="1" applyAlignment="1"/>
    <xf numFmtId="175" fontId="52" fillId="0" borderId="0" xfId="91" applyFont="1" applyAlignment="1">
      <alignment horizontal="left"/>
    </xf>
    <xf numFmtId="175" fontId="52" fillId="0" borderId="6" xfId="91" applyFont="1" applyFill="1" applyBorder="1" applyAlignment="1"/>
    <xf numFmtId="175" fontId="52" fillId="0" borderId="6" xfId="91" quotePrefix="1" applyFont="1" applyFill="1" applyBorder="1" applyAlignment="1">
      <alignment horizontal="left"/>
    </xf>
    <xf numFmtId="175" fontId="52" fillId="0" borderId="6" xfId="91" applyFont="1" applyFill="1" applyBorder="1" applyAlignment="1">
      <alignment horizontal="center"/>
    </xf>
    <xf numFmtId="175" fontId="52" fillId="0" borderId="6" xfId="91" quotePrefix="1" applyFont="1" applyFill="1" applyBorder="1" applyAlignment="1">
      <alignment horizontal="center" wrapText="1"/>
    </xf>
    <xf numFmtId="175" fontId="52" fillId="0" borderId="0" xfId="91" quotePrefix="1" applyFont="1" applyBorder="1" applyAlignment="1">
      <alignment horizontal="left"/>
    </xf>
    <xf numFmtId="175" fontId="52" fillId="0" borderId="0" xfId="91" applyFont="1" applyBorder="1" applyAlignment="1">
      <alignment horizontal="center"/>
    </xf>
    <xf numFmtId="175" fontId="52" fillId="0" borderId="0" xfId="91" applyFont="1" applyBorder="1" applyAlignment="1">
      <alignment horizontal="center" wrapText="1"/>
    </xf>
    <xf numFmtId="175" fontId="52" fillId="0" borderId="0" xfId="91" applyFont="1" applyAlignment="1"/>
    <xf numFmtId="0" fontId="10" fillId="0" borderId="0" xfId="91" applyNumberFormat="1" applyFont="1" applyFill="1"/>
    <xf numFmtId="175" fontId="54" fillId="0" borderId="0" xfId="91" applyFont="1" applyFill="1" applyAlignment="1">
      <alignment horizontal="center"/>
    </xf>
    <xf numFmtId="175" fontId="54" fillId="0" borderId="0" xfId="91" applyFont="1" applyBorder="1" applyAlignment="1"/>
    <xf numFmtId="175" fontId="52" fillId="0" borderId="0" xfId="91" applyFont="1" applyBorder="1" applyAlignment="1">
      <alignment horizontal="left"/>
    </xf>
    <xf numFmtId="175" fontId="54" fillId="0" borderId="0" xfId="91" applyFont="1" applyBorder="1" applyAlignment="1">
      <alignment horizontal="center"/>
    </xf>
    <xf numFmtId="175" fontId="52" fillId="0" borderId="0" xfId="91" applyFont="1" applyAlignment="1">
      <alignment horizontal="center"/>
    </xf>
    <xf numFmtId="175" fontId="52" fillId="0" borderId="0" xfId="91" quotePrefix="1" applyFont="1" applyFill="1" applyAlignment="1">
      <alignment horizontal="left"/>
    </xf>
    <xf numFmtId="175" fontId="54" fillId="0" borderId="0" xfId="91" applyFont="1" applyFill="1" applyAlignment="1">
      <alignment horizontal="left" indent="1"/>
    </xf>
    <xf numFmtId="37" fontId="54" fillId="0" borderId="0" xfId="91" applyNumberFormat="1" applyFont="1" applyFill="1" applyAlignment="1"/>
    <xf numFmtId="175" fontId="54" fillId="0" borderId="0" xfId="91" applyFont="1" applyBorder="1" applyAlignment="1">
      <alignment horizontal="left" indent="1"/>
    </xf>
    <xf numFmtId="37" fontId="54" fillId="0" borderId="0" xfId="91" applyNumberFormat="1" applyFont="1" applyFill="1" applyBorder="1" applyAlignment="1"/>
    <xf numFmtId="37" fontId="54" fillId="0" borderId="0" xfId="91" applyNumberFormat="1" applyFont="1" applyAlignment="1"/>
    <xf numFmtId="175" fontId="52" fillId="0" borderId="0" xfId="91" quotePrefix="1" applyFont="1" applyAlignment="1">
      <alignment horizontal="center"/>
    </xf>
    <xf numFmtId="175" fontId="54" fillId="0" borderId="0" xfId="91" quotePrefix="1" applyFont="1" applyFill="1" applyAlignment="1">
      <alignment horizontal="left" indent="1"/>
    </xf>
    <xf numFmtId="37" fontId="52" fillId="0" borderId="0" xfId="91" applyNumberFormat="1" applyFont="1" applyFill="1" applyAlignment="1">
      <alignment horizontal="left"/>
    </xf>
    <xf numFmtId="37" fontId="52" fillId="0" borderId="0" xfId="91" applyNumberFormat="1" applyFont="1" applyBorder="1" applyAlignment="1">
      <alignment horizontal="left"/>
    </xf>
    <xf numFmtId="37" fontId="54" fillId="0" borderId="6" xfId="91" applyNumberFormat="1" applyFont="1" applyFill="1" applyBorder="1" applyAlignment="1"/>
    <xf numFmtId="175" fontId="54" fillId="0" borderId="0" xfId="91" quotePrefix="1" applyFont="1" applyFill="1" applyAlignment="1">
      <alignment horizontal="left"/>
    </xf>
    <xf numFmtId="175" fontId="54" fillId="0" borderId="0" xfId="91" quotePrefix="1" applyFont="1" applyBorder="1" applyAlignment="1">
      <alignment horizontal="left"/>
    </xf>
    <xf numFmtId="175" fontId="54" fillId="0" borderId="0" xfId="91" applyFont="1" applyFill="1" applyBorder="1" applyAlignment="1"/>
    <xf numFmtId="175" fontId="54" fillId="0" borderId="0" xfId="91" applyFont="1" applyFill="1" applyAlignment="1">
      <alignment horizontal="left" indent="2"/>
    </xf>
    <xf numFmtId="175" fontId="54" fillId="0" borderId="0" xfId="91" applyFont="1" applyBorder="1" applyAlignment="1">
      <alignment horizontal="left" indent="2"/>
    </xf>
    <xf numFmtId="175" fontId="54" fillId="0" borderId="0" xfId="91" applyFont="1" applyFill="1" applyAlignment="1">
      <alignment horizontal="left"/>
    </xf>
    <xf numFmtId="175" fontId="54" fillId="0" borderId="0" xfId="91" applyFont="1" applyBorder="1" applyAlignment="1">
      <alignment horizontal="left"/>
    </xf>
    <xf numFmtId="175" fontId="54" fillId="0" borderId="0" xfId="91" quotePrefix="1" applyFont="1" applyBorder="1" applyAlignment="1">
      <alignment horizontal="left" indent="1"/>
    </xf>
    <xf numFmtId="175" fontId="56" fillId="0" borderId="0" xfId="91" quotePrefix="1" applyFont="1" applyFill="1" applyAlignment="1">
      <alignment horizontal="left"/>
    </xf>
    <xf numFmtId="175" fontId="52" fillId="0" borderId="0" xfId="91" quotePrefix="1" applyFont="1" applyAlignment="1">
      <alignment horizontal="left"/>
    </xf>
    <xf numFmtId="175" fontId="54" fillId="0" borderId="0" xfId="91" quotePrefix="1" applyFont="1" applyAlignment="1">
      <alignment horizontal="left" indent="1"/>
    </xf>
    <xf numFmtId="176" fontId="52" fillId="0" borderId="0" xfId="91" quotePrefix="1" applyNumberFormat="1" applyFont="1" applyFill="1" applyAlignment="1">
      <alignment horizontal="left"/>
    </xf>
    <xf numFmtId="37" fontId="54" fillId="0" borderId="0" xfId="91" applyNumberFormat="1" applyFont="1" applyBorder="1" applyAlignment="1"/>
    <xf numFmtId="175" fontId="56" fillId="0" borderId="0" xfId="91" quotePrefix="1" applyFont="1" applyFill="1" applyAlignment="1">
      <alignment horizontal="left" wrapText="1"/>
    </xf>
    <xf numFmtId="176" fontId="52" fillId="0" borderId="0" xfId="91" quotePrefix="1" applyNumberFormat="1" applyFont="1" applyBorder="1" applyAlignment="1">
      <alignment horizontal="left"/>
    </xf>
    <xf numFmtId="175" fontId="54" fillId="0" borderId="0" xfId="91" quotePrefix="1" applyFont="1" applyFill="1" applyAlignment="1">
      <alignment horizontal="left" indent="2"/>
    </xf>
    <xf numFmtId="175" fontId="54" fillId="0" borderId="0" xfId="91" quotePrefix="1" applyFont="1" applyAlignment="1">
      <alignment horizontal="left"/>
    </xf>
    <xf numFmtId="175" fontId="54" fillId="0" borderId="0" xfId="91" quotePrefix="1" applyFont="1" applyAlignment="1">
      <alignment horizontal="left" indent="2"/>
    </xf>
    <xf numFmtId="175" fontId="52" fillId="0" borderId="0" xfId="91" quotePrefix="1" applyFont="1" applyFill="1" applyBorder="1" applyAlignment="1">
      <alignment horizontal="left"/>
    </xf>
    <xf numFmtId="175" fontId="54" fillId="0" borderId="0" xfId="91" quotePrefix="1" applyFont="1" applyFill="1" applyBorder="1" applyAlignment="1">
      <alignment horizontal="left"/>
    </xf>
    <xf numFmtId="175" fontId="52" fillId="0" borderId="0" xfId="91" applyFont="1" applyFill="1" applyBorder="1" applyAlignment="1">
      <alignment horizontal="left"/>
    </xf>
    <xf numFmtId="175" fontId="54" fillId="0" borderId="0" xfId="91" quotePrefix="1" applyFont="1" applyFill="1" applyBorder="1" applyAlignment="1">
      <alignment horizontal="left" indent="1"/>
    </xf>
    <xf numFmtId="175" fontId="54" fillId="0" borderId="0" xfId="91" applyFont="1" applyFill="1" applyBorder="1" applyAlignment="1">
      <alignment horizontal="left"/>
    </xf>
    <xf numFmtId="175" fontId="54" fillId="0" borderId="0" xfId="91" applyFont="1" applyFill="1" applyBorder="1" applyAlignment="1">
      <alignment horizontal="left" indent="2"/>
    </xf>
    <xf numFmtId="175" fontId="54" fillId="0" borderId="0" xfId="91" quotePrefix="1" applyFont="1" applyFill="1" applyBorder="1" applyAlignment="1">
      <alignment horizontal="left" indent="2"/>
    </xf>
    <xf numFmtId="37" fontId="54" fillId="0" borderId="0" xfId="91" applyNumberFormat="1" applyFont="1" applyFill="1" applyAlignment="1">
      <alignment horizontal="left"/>
    </xf>
    <xf numFmtId="37" fontId="54" fillId="0" borderId="0" xfId="91" quotePrefix="1" applyNumberFormat="1" applyFont="1" applyFill="1" applyBorder="1" applyAlignment="1">
      <alignment horizontal="left"/>
    </xf>
    <xf numFmtId="37" fontId="54" fillId="0" borderId="0" xfId="91" quotePrefix="1" applyNumberFormat="1" applyFont="1" applyFill="1" applyAlignment="1">
      <alignment horizontal="left"/>
    </xf>
    <xf numFmtId="175" fontId="52" fillId="0" borderId="0" xfId="91" applyFont="1" applyFill="1" applyBorder="1" applyAlignment="1"/>
    <xf numFmtId="175" fontId="52" fillId="0" borderId="0" xfId="91" applyFont="1" applyFill="1" applyAlignment="1"/>
    <xf numFmtId="175" fontId="54" fillId="0" borderId="0" xfId="91" applyFont="1" applyFill="1" applyBorder="1" applyAlignment="1">
      <alignment horizontal="left" indent="1"/>
    </xf>
    <xf numFmtId="0" fontId="52" fillId="0" borderId="0" xfId="91" quotePrefix="1" applyNumberFormat="1" applyFont="1" applyBorder="1" applyAlignment="1">
      <alignment horizontal="left"/>
    </xf>
    <xf numFmtId="0" fontId="52" fillId="0" borderId="0" xfId="91" quotePrefix="1" applyNumberFormat="1" applyFont="1" applyFill="1" applyAlignment="1">
      <alignment horizontal="left"/>
    </xf>
    <xf numFmtId="175" fontId="54" fillId="0" borderId="0" xfId="91" applyFont="1" applyFill="1" applyAlignment="1">
      <alignment horizontal="left" indent="3"/>
    </xf>
    <xf numFmtId="175" fontId="54" fillId="0" borderId="0" xfId="91" quotePrefix="1" applyFont="1" applyFill="1" applyAlignment="1">
      <alignment horizontal="left" indent="3"/>
    </xf>
    <xf numFmtId="177" fontId="54" fillId="0" borderId="0" xfId="91" applyNumberFormat="1" applyFont="1" applyFill="1" applyAlignment="1"/>
    <xf numFmtId="175" fontId="52" fillId="0" borderId="0" xfId="91" applyFont="1" applyBorder="1" applyAlignment="1"/>
    <xf numFmtId="175" fontId="57" fillId="0" borderId="0" xfId="91" quotePrefix="1" applyFont="1" applyFill="1" applyAlignment="1">
      <alignment horizontal="left"/>
    </xf>
    <xf numFmtId="10" fontId="54" fillId="0" borderId="0" xfId="91" applyNumberFormat="1" applyFont="1" applyFill="1" applyBorder="1" applyAlignment="1"/>
    <xf numFmtId="0" fontId="9" fillId="0" borderId="0" xfId="91" applyNumberFormat="1" applyFont="1" applyFill="1"/>
    <xf numFmtId="37" fontId="52" fillId="0" borderId="0" xfId="91" applyNumberFormat="1" applyFont="1" applyFill="1" applyAlignment="1"/>
    <xf numFmtId="37" fontId="52" fillId="0" borderId="0" xfId="91" applyNumberFormat="1" applyFont="1" applyFill="1" applyBorder="1" applyAlignment="1"/>
    <xf numFmtId="37" fontId="52" fillId="0" borderId="6" xfId="91" applyNumberFormat="1" applyFont="1" applyFill="1" applyBorder="1" applyAlignment="1"/>
    <xf numFmtId="37" fontId="54" fillId="9" borderId="0" xfId="91" applyNumberFormat="1" applyFont="1" applyFill="1" applyAlignment="1"/>
    <xf numFmtId="175" fontId="54" fillId="9" borderId="0" xfId="91" quotePrefix="1" applyFont="1" applyFill="1" applyBorder="1" applyAlignment="1">
      <alignment horizontal="left"/>
    </xf>
    <xf numFmtId="37" fontId="52" fillId="9" borderId="6" xfId="91" applyNumberFormat="1" applyFont="1" applyFill="1" applyBorder="1" applyAlignment="1"/>
    <xf numFmtId="175" fontId="54" fillId="9" borderId="0" xfId="91" applyFont="1" applyFill="1" applyBorder="1" applyAlignment="1"/>
    <xf numFmtId="175" fontId="52" fillId="9" borderId="0" xfId="91" applyFont="1" applyFill="1" applyBorder="1" applyAlignment="1">
      <alignment horizontal="left"/>
    </xf>
    <xf numFmtId="10" fontId="52" fillId="0" borderId="0" xfId="91" applyNumberFormat="1" applyFont="1" applyFill="1" applyAlignment="1"/>
    <xf numFmtId="0" fontId="9" fillId="0" borderId="0" xfId="41" quotePrefix="1" applyFont="1" applyAlignment="1">
      <alignment horizontal="center" vertical="top"/>
    </xf>
    <xf numFmtId="0" fontId="58" fillId="0" borderId="0" xfId="0" applyFont="1"/>
    <xf numFmtId="0" fontId="9" fillId="0" borderId="0" xfId="0" applyFont="1" applyAlignment="1">
      <alignment horizontal="center" vertical="top"/>
    </xf>
    <xf numFmtId="43" fontId="43" fillId="0" borderId="0" xfId="86" applyFont="1"/>
    <xf numFmtId="0" fontId="9" fillId="8" borderId="0" xfId="87" applyFont="1" applyFill="1" applyAlignment="1">
      <alignment horizontal="left" vertical="top" indent="2"/>
    </xf>
    <xf numFmtId="0" fontId="10" fillId="0" borderId="0" xfId="0" applyFont="1" applyAlignment="1">
      <alignment horizontal="left" indent="1"/>
    </xf>
    <xf numFmtId="0" fontId="10" fillId="0" borderId="0" xfId="0" applyFont="1" applyAlignment="1">
      <alignment horizontal="left" wrapText="1"/>
    </xf>
    <xf numFmtId="0" fontId="10" fillId="0" borderId="0" xfId="0" applyFont="1"/>
    <xf numFmtId="0" fontId="45" fillId="0" borderId="0" xfId="0" applyFont="1"/>
    <xf numFmtId="0" fontId="9" fillId="0" borderId="0" xfId="87" applyFont="1" applyAlignment="1">
      <alignment horizontal="left" vertical="top" indent="1"/>
    </xf>
    <xf numFmtId="0" fontId="10" fillId="0" borderId="4" xfId="87" applyFont="1" applyBorder="1" applyAlignment="1">
      <alignment vertical="top"/>
    </xf>
    <xf numFmtId="164" fontId="0" fillId="0" borderId="0" xfId="12" applyNumberFormat="1" applyFont="1"/>
    <xf numFmtId="164" fontId="44" fillId="0" borderId="0" xfId="12" applyNumberFormat="1" applyFont="1"/>
    <xf numFmtId="164" fontId="0" fillId="0" borderId="11" xfId="12" applyNumberFormat="1" applyFont="1" applyBorder="1"/>
    <xf numFmtId="0" fontId="0" fillId="0" borderId="0" xfId="0" applyAlignment="1">
      <alignment horizontal="center"/>
    </xf>
    <xf numFmtId="0" fontId="10" fillId="0" borderId="0" xfId="39" applyFont="1" applyFill="1" applyBorder="1" applyProtection="1">
      <protection locked="0"/>
    </xf>
    <xf numFmtId="0" fontId="0" fillId="0" borderId="0" xfId="0" applyFill="1" applyBorder="1"/>
    <xf numFmtId="0" fontId="0" fillId="0" borderId="0" xfId="0" applyFill="1" applyBorder="1" applyAlignment="1">
      <alignment horizontal="center"/>
    </xf>
    <xf numFmtId="43" fontId="0" fillId="0" borderId="0" xfId="86" applyFont="1" applyFill="1" applyBorder="1"/>
    <xf numFmtId="14" fontId="0" fillId="0" borderId="0" xfId="0" applyNumberFormat="1" applyAlignment="1">
      <alignment horizontal="center"/>
    </xf>
    <xf numFmtId="164" fontId="44" fillId="0" borderId="0" xfId="44" applyNumberFormat="1" applyBorder="1"/>
    <xf numFmtId="164" fontId="44" fillId="0" borderId="0" xfId="44" applyNumberFormat="1" applyFill="1" applyBorder="1"/>
    <xf numFmtId="164" fontId="44" fillId="0" borderId="20" xfId="44" applyNumberFormat="1" applyBorder="1"/>
    <xf numFmtId="0" fontId="40" fillId="0" borderId="0" xfId="45" applyFont="1" applyBorder="1" applyAlignment="1"/>
    <xf numFmtId="0" fontId="13" fillId="0" borderId="0" xfId="62" applyFont="1" applyFill="1"/>
    <xf numFmtId="164" fontId="13" fillId="0" borderId="0" xfId="16" applyNumberFormat="1" applyFont="1" applyFill="1"/>
    <xf numFmtId="164" fontId="13" fillId="0" borderId="0" xfId="62" applyNumberFormat="1" applyFont="1" applyFill="1"/>
    <xf numFmtId="173" fontId="13" fillId="0" borderId="0" xfId="16" applyNumberFormat="1" applyFont="1" applyFill="1"/>
    <xf numFmtId="175" fontId="54" fillId="9" borderId="0" xfId="91" applyFont="1" applyFill="1" applyAlignment="1"/>
    <xf numFmtId="0" fontId="52" fillId="0" borderId="0" xfId="0" applyFont="1" applyFill="1" applyAlignment="1">
      <alignment horizontal="left"/>
    </xf>
    <xf numFmtId="43" fontId="5" fillId="0" borderId="0" xfId="90" applyFont="1" applyFill="1"/>
    <xf numFmtId="43" fontId="5" fillId="0" borderId="0" xfId="90" quotePrefix="1" applyFont="1" applyFill="1" applyAlignment="1">
      <alignment horizontal="center"/>
    </xf>
    <xf numFmtId="43" fontId="47" fillId="0" borderId="0" xfId="90" quotePrefix="1" applyFont="1" applyFill="1" applyAlignment="1">
      <alignment horizontal="center"/>
    </xf>
    <xf numFmtId="43" fontId="47" fillId="0" borderId="0" xfId="90" applyFont="1" applyFill="1" applyAlignment="1">
      <alignment horizontal="center"/>
    </xf>
    <xf numFmtId="164" fontId="5" fillId="0" borderId="0" xfId="86" applyNumberFormat="1" applyFont="1" applyFill="1"/>
    <xf numFmtId="164" fontId="0" fillId="0" borderId="0" xfId="86" applyNumberFormat="1" applyFont="1" applyFill="1"/>
    <xf numFmtId="164" fontId="5" fillId="0" borderId="11" xfId="86" applyNumberFormat="1" applyFont="1" applyFill="1" applyBorder="1"/>
    <xf numFmtId="164" fontId="5" fillId="0" borderId="0" xfId="90" applyNumberFormat="1" applyFont="1" applyFill="1"/>
    <xf numFmtId="164" fontId="5" fillId="0" borderId="0" xfId="0" applyNumberFormat="1" applyFont="1" applyFill="1"/>
    <xf numFmtId="0" fontId="10" fillId="0" borderId="0" xfId="50" quotePrefix="1" applyFont="1" applyFill="1" applyAlignment="1">
      <alignment horizontal="right" vertical="top"/>
    </xf>
    <xf numFmtId="0" fontId="13" fillId="0" borderId="0" xfId="89" applyFill="1"/>
    <xf numFmtId="0" fontId="5" fillId="0" borderId="0" xfId="0" applyFont="1" applyFill="1"/>
    <xf numFmtId="0" fontId="49" fillId="0" borderId="0" xfId="0" applyFont="1" applyFill="1" applyAlignment="1" applyProtection="1">
      <alignment horizontal="left"/>
      <protection locked="0"/>
    </xf>
    <xf numFmtId="0" fontId="50" fillId="0" borderId="0" xfId="0" applyFont="1" applyFill="1" applyAlignment="1" applyProtection="1">
      <alignment horizontal="left"/>
      <protection locked="0"/>
    </xf>
    <xf numFmtId="0" fontId="47" fillId="0" borderId="0" xfId="0" applyFont="1" applyFill="1" applyAlignment="1">
      <alignment horizontal="center"/>
    </xf>
    <xf numFmtId="0" fontId="0" fillId="0" borderId="0" xfId="0" applyFill="1"/>
    <xf numFmtId="0" fontId="0" fillId="0" borderId="0" xfId="0" applyFill="1" applyAlignment="1">
      <alignment horizontal="left"/>
    </xf>
    <xf numFmtId="0" fontId="47" fillId="0" borderId="0" xfId="0" applyFont="1" applyFill="1"/>
    <xf numFmtId="0" fontId="5" fillId="0" borderId="0" xfId="0" applyFont="1" applyFill="1" applyAlignment="1">
      <alignment horizontal="left" indent="1"/>
    </xf>
    <xf numFmtId="164" fontId="5" fillId="0" borderId="0" xfId="0" applyNumberFormat="1" applyFont="1" applyFill="1" applyBorder="1"/>
    <xf numFmtId="164" fontId="5" fillId="0" borderId="0" xfId="90" applyNumberFormat="1" applyFont="1" applyFill="1" applyBorder="1"/>
    <xf numFmtId="164" fontId="5" fillId="0" borderId="6" xfId="0" applyNumberFormat="1" applyFont="1" applyFill="1" applyBorder="1"/>
    <xf numFmtId="175" fontId="52" fillId="9" borderId="0" xfId="91" quotePrefix="1" applyFont="1" applyFill="1" applyAlignment="1">
      <alignment horizontal="left"/>
    </xf>
    <xf numFmtId="175" fontId="54" fillId="9" borderId="0" xfId="91" quotePrefix="1" applyFont="1" applyFill="1" applyAlignment="1">
      <alignment horizontal="left"/>
    </xf>
    <xf numFmtId="0" fontId="5" fillId="0" borderId="0" xfId="0" applyFont="1"/>
    <xf numFmtId="0" fontId="50" fillId="0" borderId="0" xfId="0" applyFont="1" applyAlignment="1" applyProtection="1">
      <alignment horizontal="left"/>
      <protection locked="0"/>
    </xf>
    <xf numFmtId="43" fontId="5" fillId="0" borderId="0" xfId="90" applyFont="1"/>
    <xf numFmtId="0" fontId="4" fillId="0" borderId="0" xfId="0" applyFont="1"/>
    <xf numFmtId="0" fontId="99" fillId="0" borderId="0" xfId="0" applyFont="1" applyAlignment="1">
      <alignment horizontal="center"/>
    </xf>
    <xf numFmtId="0" fontId="99" fillId="0" borderId="17" xfId="0" applyFont="1" applyBorder="1" applyAlignment="1">
      <alignment horizontal="center"/>
    </xf>
    <xf numFmtId="0" fontId="98" fillId="0" borderId="0" xfId="0" applyFont="1" applyAlignment="1">
      <alignment horizontal="right"/>
    </xf>
    <xf numFmtId="178" fontId="4" fillId="0" borderId="0" xfId="0" applyNumberFormat="1" applyFont="1"/>
    <xf numFmtId="178" fontId="4" fillId="0" borderId="17" xfId="0" applyNumberFormat="1" applyFont="1" applyBorder="1"/>
    <xf numFmtId="0" fontId="99" fillId="0" borderId="0" xfId="0" applyFont="1"/>
    <xf numFmtId="49" fontId="100" fillId="0" borderId="29" xfId="0" applyNumberFormat="1" applyFont="1" applyBorder="1" applyAlignment="1">
      <alignment vertical="top" wrapText="1"/>
    </xf>
    <xf numFmtId="164" fontId="4" fillId="0" borderId="0" xfId="13" applyNumberFormat="1" applyFont="1"/>
    <xf numFmtId="164" fontId="4" fillId="0" borderId="17" xfId="13" applyNumberFormat="1" applyFont="1" applyBorder="1"/>
    <xf numFmtId="164" fontId="4" fillId="0" borderId="0" xfId="0" applyNumberFormat="1" applyFont="1"/>
    <xf numFmtId="49" fontId="100" fillId="0" borderId="30" xfId="0" applyNumberFormat="1" applyFont="1" applyBorder="1" applyAlignment="1">
      <alignment vertical="top" wrapText="1"/>
    </xf>
    <xf numFmtId="164" fontId="4" fillId="0" borderId="6" xfId="0" applyNumberFormat="1" applyFont="1" applyBorder="1"/>
    <xf numFmtId="0" fontId="4" fillId="0" borderId="19" xfId="0" applyFont="1" applyBorder="1"/>
    <xf numFmtId="164" fontId="4" fillId="0" borderId="6" xfId="13" applyNumberFormat="1" applyFont="1" applyBorder="1"/>
    <xf numFmtId="37" fontId="54" fillId="0" borderId="20" xfId="91" applyNumberFormat="1" applyFont="1" applyFill="1" applyBorder="1" applyAlignment="1"/>
    <xf numFmtId="0" fontId="10" fillId="0" borderId="0" xfId="62" applyFont="1" applyFill="1"/>
    <xf numFmtId="164" fontId="10" fillId="0" borderId="0" xfId="16" applyNumberFormat="1" applyFont="1" applyFill="1"/>
    <xf numFmtId="0" fontId="9" fillId="0" borderId="0" xfId="65" applyFont="1" applyFill="1" applyAlignment="1">
      <alignment horizontal="center" textRotation="90"/>
    </xf>
    <xf numFmtId="3" fontId="37" fillId="0" borderId="0" xfId="65" quotePrefix="1" applyNumberFormat="1" applyFont="1" applyFill="1" applyAlignment="1">
      <alignment horizontal="center" textRotation="90"/>
    </xf>
    <xf numFmtId="3" fontId="9" fillId="0" borderId="0" xfId="65" applyNumberFormat="1" applyFont="1" applyFill="1" applyAlignment="1">
      <alignment horizontal="center" textRotation="90"/>
    </xf>
    <xf numFmtId="3" fontId="9" fillId="0" borderId="0" xfId="65" applyNumberFormat="1" applyFont="1" applyAlignment="1">
      <alignment horizontal="center" vertical="center" wrapText="1"/>
    </xf>
    <xf numFmtId="3" fontId="9" fillId="0" borderId="0" xfId="65" applyNumberFormat="1" applyFont="1" applyAlignment="1">
      <alignment horizontal="center" vertical="center"/>
    </xf>
    <xf numFmtId="0" fontId="9" fillId="0" borderId="0" xfId="65" applyFont="1" applyAlignment="1">
      <alignment horizontal="right"/>
    </xf>
    <xf numFmtId="37" fontId="10" fillId="0" borderId="0" xfId="65" applyNumberFormat="1" applyFont="1" applyAlignment="1">
      <alignment horizontal="right"/>
    </xf>
    <xf numFmtId="37" fontId="10" fillId="0" borderId="6" xfId="65" applyNumberFormat="1" applyFont="1" applyBorder="1" applyAlignment="1">
      <alignment horizontal="right"/>
    </xf>
    <xf numFmtId="164" fontId="47" fillId="0" borderId="0" xfId="0" applyNumberFormat="1" applyFont="1" applyFill="1"/>
    <xf numFmtId="164" fontId="101" fillId="0" borderId="0" xfId="86" applyNumberFormat="1" applyFont="1" applyFill="1"/>
    <xf numFmtId="164" fontId="47" fillId="0" borderId="0" xfId="0" applyNumberFormat="1" applyFont="1" applyFill="1" applyBorder="1"/>
    <xf numFmtId="164" fontId="47" fillId="0" borderId="6" xfId="0" applyNumberFormat="1" applyFont="1" applyFill="1" applyBorder="1"/>
    <xf numFmtId="164" fontId="0" fillId="0" borderId="13" xfId="12" applyNumberFormat="1" applyFont="1" applyBorder="1"/>
    <xf numFmtId="164" fontId="0" fillId="0" borderId="14" xfId="12" applyNumberFormat="1" applyFont="1" applyBorder="1"/>
    <xf numFmtId="164" fontId="101" fillId="0" borderId="13" xfId="12" applyNumberFormat="1" applyFont="1" applyBorder="1"/>
    <xf numFmtId="43" fontId="34" fillId="0" borderId="0" xfId="56" applyNumberFormat="1" applyFont="1"/>
    <xf numFmtId="164" fontId="36" fillId="0" borderId="0" xfId="16" applyNumberFormat="1" applyFont="1" applyFill="1"/>
    <xf numFmtId="41" fontId="10" fillId="0" borderId="0" xfId="87" applyNumberFormat="1" applyFont="1" applyAlignment="1">
      <alignment vertical="top"/>
    </xf>
    <xf numFmtId="41" fontId="10" fillId="0" borderId="6" xfId="87" applyNumberFormat="1" applyFont="1" applyBorder="1" applyAlignment="1">
      <alignment horizontal="center" vertical="top"/>
    </xf>
    <xf numFmtId="41" fontId="10" fillId="0" borderId="18" xfId="87" applyNumberFormat="1" applyFont="1" applyBorder="1" applyAlignment="1">
      <alignment horizontal="center" vertical="top"/>
    </xf>
    <xf numFmtId="41" fontId="10" fillId="0" borderId="22" xfId="87" applyNumberFormat="1" applyFont="1" applyBorder="1" applyAlignment="1">
      <alignment vertical="top"/>
    </xf>
    <xf numFmtId="41" fontId="10" fillId="0" borderId="20" xfId="87" applyNumberFormat="1" applyFont="1" applyBorder="1" applyAlignment="1">
      <alignment vertical="top"/>
    </xf>
    <xf numFmtId="41" fontId="10" fillId="0" borderId="21" xfId="87" applyNumberFormat="1" applyFont="1" applyBorder="1" applyAlignment="1">
      <alignment vertical="top"/>
    </xf>
    <xf numFmtId="41" fontId="10" fillId="0" borderId="23" xfId="87" applyNumberFormat="1" applyFont="1" applyFill="1" applyBorder="1" applyAlignment="1">
      <alignment vertical="top"/>
    </xf>
    <xf numFmtId="41" fontId="10" fillId="0" borderId="0" xfId="87" applyNumberFormat="1" applyFont="1" applyFill="1" applyBorder="1" applyAlignment="1">
      <alignment vertical="top"/>
    </xf>
    <xf numFmtId="41" fontId="10" fillId="0" borderId="24" xfId="87" applyNumberFormat="1" applyFont="1" applyFill="1" applyBorder="1" applyAlignment="1">
      <alignment vertical="top"/>
    </xf>
    <xf numFmtId="41" fontId="10" fillId="0" borderId="5" xfId="87" applyNumberFormat="1" applyFont="1" applyBorder="1" applyAlignment="1">
      <alignment vertical="top"/>
    </xf>
    <xf numFmtId="41" fontId="10" fillId="8" borderId="5" xfId="87" applyNumberFormat="1" applyFont="1" applyFill="1" applyBorder="1" applyAlignment="1">
      <alignment vertical="top"/>
    </xf>
    <xf numFmtId="41" fontId="10" fillId="0" borderId="17" xfId="87" applyNumberFormat="1" applyFont="1" applyBorder="1" applyAlignment="1">
      <alignment vertical="top"/>
    </xf>
    <xf numFmtId="41" fontId="10" fillId="8" borderId="17" xfId="87" applyNumberFormat="1" applyFont="1" applyFill="1" applyBorder="1" applyAlignment="1">
      <alignment vertical="top"/>
    </xf>
    <xf numFmtId="41" fontId="10" fillId="0" borderId="19" xfId="87" applyNumberFormat="1" applyFont="1" applyBorder="1" applyAlignment="1">
      <alignment vertical="top"/>
    </xf>
    <xf numFmtId="41" fontId="9" fillId="8" borderId="5" xfId="87" applyNumberFormat="1" applyFont="1" applyFill="1" applyBorder="1" applyAlignment="1">
      <alignment vertical="top"/>
    </xf>
    <xf numFmtId="41" fontId="9" fillId="0" borderId="17" xfId="87" applyNumberFormat="1" applyFont="1" applyBorder="1" applyAlignment="1">
      <alignment vertical="top"/>
    </xf>
    <xf numFmtId="41" fontId="9" fillId="0" borderId="17" xfId="86" applyNumberFormat="1" applyFont="1" applyBorder="1" applyAlignment="1">
      <alignment vertical="top"/>
    </xf>
    <xf numFmtId="41" fontId="10" fillId="0" borderId="4" xfId="87" applyNumberFormat="1" applyFont="1" applyBorder="1" applyAlignment="1">
      <alignment vertical="top"/>
    </xf>
    <xf numFmtId="41" fontId="58" fillId="0" borderId="0" xfId="0" applyNumberFormat="1" applyFont="1"/>
    <xf numFmtId="41" fontId="9" fillId="0" borderId="5" xfId="87" applyNumberFormat="1" applyFont="1" applyBorder="1" applyAlignment="1">
      <alignment vertical="top"/>
    </xf>
    <xf numFmtId="41" fontId="10" fillId="0" borderId="0" xfId="0" applyNumberFormat="1" applyFont="1"/>
    <xf numFmtId="41" fontId="0" fillId="0" borderId="0" xfId="0" applyNumberFormat="1"/>
    <xf numFmtId="0" fontId="28" fillId="0" borderId="0" xfId="282" applyFont="1"/>
    <xf numFmtId="0" fontId="102" fillId="0" borderId="0" xfId="282"/>
    <xf numFmtId="0" fontId="9" fillId="0" borderId="0" xfId="282" applyFont="1" applyFill="1" applyAlignment="1">
      <alignment horizontal="center" textRotation="90"/>
    </xf>
    <xf numFmtId="0" fontId="9" fillId="0" borderId="0" xfId="282" quotePrefix="1" applyFont="1" applyFill="1" applyAlignment="1">
      <alignment horizontal="center" textRotation="90"/>
    </xf>
    <xf numFmtId="0" fontId="103" fillId="0" borderId="0" xfId="282" applyFont="1" applyFill="1" applyAlignment="1">
      <alignment horizontal="center" textRotation="90"/>
    </xf>
    <xf numFmtId="0" fontId="9" fillId="0" borderId="0" xfId="282" applyFont="1"/>
    <xf numFmtId="0" fontId="9" fillId="0" borderId="0" xfId="282" applyFont="1" applyAlignment="1">
      <alignment horizontal="center" wrapText="1"/>
    </xf>
    <xf numFmtId="3" fontId="102" fillId="0" borderId="0" xfId="282" applyNumberFormat="1"/>
    <xf numFmtId="37" fontId="28" fillId="0" borderId="0" xfId="282" applyNumberFormat="1" applyFont="1"/>
    <xf numFmtId="0" fontId="104" fillId="0" borderId="0" xfId="282" applyFont="1"/>
    <xf numFmtId="3" fontId="102" fillId="0" borderId="6" xfId="282" applyNumberFormat="1" applyBorder="1"/>
    <xf numFmtId="0" fontId="9" fillId="0" borderId="0" xfId="282" applyFont="1" applyAlignment="1">
      <alignment horizontal="right"/>
    </xf>
    <xf numFmtId="37" fontId="102" fillId="0" borderId="9" xfId="282" applyNumberFormat="1" applyBorder="1"/>
    <xf numFmtId="37" fontId="102" fillId="0" borderId="0" xfId="282" applyNumberFormat="1" applyBorder="1"/>
    <xf numFmtId="37" fontId="9" fillId="0" borderId="15" xfId="282" applyNumberFormat="1" applyFont="1" applyBorder="1"/>
    <xf numFmtId="0" fontId="103" fillId="0" borderId="0" xfId="282" applyFont="1"/>
    <xf numFmtId="3" fontId="105" fillId="0" borderId="0" xfId="65" applyNumberFormat="1" applyFont="1" applyFill="1"/>
    <xf numFmtId="0" fontId="9" fillId="0" borderId="0" xfId="53" applyFont="1" applyAlignment="1"/>
    <xf numFmtId="37" fontId="98" fillId="0" borderId="0" xfId="13" quotePrefix="1" applyNumberFormat="1" applyFont="1" applyAlignment="1">
      <alignment horizontal="center"/>
    </xf>
    <xf numFmtId="37" fontId="29" fillId="0" borderId="0" xfId="13" applyNumberFormat="1" applyFont="1" applyBorder="1"/>
    <xf numFmtId="37" fontId="7" fillId="0" borderId="0" xfId="13" applyNumberFormat="1" applyFont="1" applyBorder="1"/>
    <xf numFmtId="0" fontId="37" fillId="0" borderId="0" xfId="62" applyFont="1" applyFill="1" applyAlignment="1"/>
    <xf numFmtId="43" fontId="106" fillId="0" borderId="0" xfId="16" applyFont="1" applyFill="1" applyAlignment="1">
      <alignment horizontal="center"/>
    </xf>
    <xf numFmtId="0" fontId="37" fillId="0" borderId="6" xfId="62" applyFont="1" applyFill="1" applyBorder="1"/>
    <xf numFmtId="0" fontId="52" fillId="0" borderId="0" xfId="0" applyFont="1" applyAlignment="1">
      <alignment horizontal="center"/>
    </xf>
    <xf numFmtId="41" fontId="10" fillId="0" borderId="0" xfId="87" applyNumberFormat="1" applyFont="1" applyFill="1" applyAlignment="1">
      <alignment vertical="top"/>
    </xf>
    <xf numFmtId="0" fontId="54" fillId="0" borderId="0" xfId="0" quotePrefix="1" applyFont="1" applyAlignment="1">
      <alignment horizontal="center"/>
    </xf>
    <xf numFmtId="40" fontId="37" fillId="0" borderId="0" xfId="58" quotePrefix="1" applyNumberFormat="1" applyFont="1" applyFill="1" applyBorder="1" applyAlignment="1">
      <alignment horizontal="left" vertical="top"/>
    </xf>
    <xf numFmtId="0" fontId="37" fillId="0" borderId="0" xfId="58" applyFont="1"/>
    <xf numFmtId="164" fontId="37" fillId="0" borderId="11" xfId="58" applyNumberFormat="1" applyFont="1" applyFill="1" applyBorder="1"/>
    <xf numFmtId="0" fontId="45" fillId="0" borderId="0" xfId="56" applyAlignment="1">
      <alignment horizontal="center"/>
    </xf>
    <xf numFmtId="41" fontId="13" fillId="0" borderId="0" xfId="56" applyNumberFormat="1" applyFont="1"/>
    <xf numFmtId="41" fontId="45" fillId="0" borderId="0" xfId="56" applyNumberFormat="1"/>
    <xf numFmtId="41" fontId="13" fillId="0" borderId="6" xfId="56" applyNumberFormat="1" applyFont="1" applyBorder="1"/>
    <xf numFmtId="41" fontId="4" fillId="0" borderId="0" xfId="56" applyNumberFormat="1" applyFont="1"/>
    <xf numFmtId="164" fontId="45" fillId="0" borderId="0" xfId="56" applyNumberFormat="1"/>
    <xf numFmtId="164" fontId="37" fillId="0" borderId="11" xfId="26" applyNumberFormat="1" applyFont="1" applyBorder="1"/>
    <xf numFmtId="10" fontId="4" fillId="0" borderId="0" xfId="73" applyNumberFormat="1" applyFont="1"/>
    <xf numFmtId="164" fontId="43" fillId="0" borderId="0" xfId="86" applyNumberFormat="1" applyFont="1" applyFill="1"/>
    <xf numFmtId="37" fontId="10" fillId="0" borderId="0" xfId="47" applyNumberFormat="1" applyFont="1" applyFill="1"/>
    <xf numFmtId="37" fontId="10" fillId="0" borderId="6" xfId="47" applyNumberFormat="1" applyFont="1" applyBorder="1"/>
    <xf numFmtId="37" fontId="10" fillId="0" borderId="0" xfId="47" applyNumberFormat="1" applyFont="1"/>
    <xf numFmtId="0" fontId="9" fillId="0" borderId="0" xfId="58" applyFont="1" applyFill="1" applyBorder="1" applyAlignment="1">
      <alignment horizontal="center" vertical="top"/>
    </xf>
    <xf numFmtId="0" fontId="9" fillId="0" borderId="10" xfId="39" applyFont="1" applyBorder="1" applyAlignment="1" applyProtection="1">
      <alignment horizontal="center"/>
      <protection locked="0"/>
    </xf>
    <xf numFmtId="164" fontId="58" fillId="0" borderId="11" xfId="44" applyNumberFormat="1" applyFont="1" applyBorder="1"/>
    <xf numFmtId="0" fontId="10" fillId="0" borderId="0" xfId="50" applyFont="1" applyAlignment="1">
      <alignment horizontal="centerContinuous" vertical="top"/>
    </xf>
    <xf numFmtId="0" fontId="10" fillId="0" borderId="0" xfId="50" applyFont="1">
      <alignment vertical="top"/>
    </xf>
    <xf numFmtId="0" fontId="37" fillId="0" borderId="0" xfId="50" applyFont="1" applyAlignment="1"/>
    <xf numFmtId="0" fontId="37" fillId="0" borderId="0" xfId="50" applyFont="1" applyAlignment="1">
      <alignment horizontal="center"/>
    </xf>
    <xf numFmtId="37" fontId="13" fillId="0" borderId="0" xfId="50" applyNumberFormat="1" applyFont="1" applyAlignment="1">
      <alignment horizontal="center"/>
    </xf>
    <xf numFmtId="37" fontId="37" fillId="0" borderId="0" xfId="50" applyNumberFormat="1" applyFont="1" applyAlignment="1">
      <alignment horizontal="center"/>
    </xf>
    <xf numFmtId="37" fontId="13" fillId="0" borderId="6" xfId="50" applyNumberFormat="1" applyFont="1" applyBorder="1" applyAlignment="1">
      <alignment horizontal="center"/>
    </xf>
    <xf numFmtId="37" fontId="13" fillId="0" borderId="11" xfId="50" applyNumberFormat="1" applyFont="1" applyBorder="1" applyAlignment="1">
      <alignment horizontal="center"/>
    </xf>
    <xf numFmtId="0" fontId="37" fillId="0" borderId="6" xfId="50" quotePrefix="1" applyFont="1" applyBorder="1" applyAlignment="1">
      <alignment horizontal="center" wrapText="1"/>
    </xf>
    <xf numFmtId="0" fontId="37" fillId="0" borderId="6" xfId="50" quotePrefix="1" applyFont="1" applyBorder="1" applyAlignment="1">
      <alignment horizontal="center"/>
    </xf>
    <xf numFmtId="0" fontId="9" fillId="0" borderId="0" xfId="64" applyFont="1" applyBorder="1" applyAlignment="1">
      <alignment horizontal="centerContinuous"/>
    </xf>
    <xf numFmtId="0" fontId="37" fillId="0" borderId="0" xfId="50" applyFont="1" applyBorder="1" applyAlignment="1">
      <alignment horizontal="center"/>
    </xf>
    <xf numFmtId="44" fontId="3" fillId="0" borderId="0" xfId="0" applyNumberFormat="1" applyFont="1" applyBorder="1" applyAlignment="1">
      <alignment horizontal="center"/>
    </xf>
    <xf numFmtId="0" fontId="37" fillId="0" borderId="0" xfId="50" quotePrefix="1" applyFont="1" applyBorder="1" applyAlignment="1">
      <alignment horizontal="center"/>
    </xf>
    <xf numFmtId="0" fontId="10" fillId="0" borderId="0" xfId="50" applyFont="1" applyBorder="1">
      <alignment vertical="top"/>
    </xf>
    <xf numFmtId="164" fontId="3" fillId="0" borderId="0" xfId="86" applyNumberFormat="1" applyFont="1"/>
    <xf numFmtId="0" fontId="3" fillId="0" borderId="0" xfId="0" applyFont="1" applyAlignment="1">
      <alignment horizontal="left"/>
    </xf>
    <xf numFmtId="0" fontId="13" fillId="0" borderId="0" xfId="49" applyFont="1" applyAlignment="1">
      <alignment horizontal="left"/>
    </xf>
    <xf numFmtId="164" fontId="3" fillId="0" borderId="0" xfId="13" applyNumberFormat="1" applyFont="1"/>
    <xf numFmtId="164" fontId="98" fillId="0" borderId="0" xfId="86" applyNumberFormat="1" applyFont="1"/>
    <xf numFmtId="164" fontId="37" fillId="0" borderId="0" xfId="26" applyNumberFormat="1" applyFont="1" applyBorder="1"/>
    <xf numFmtId="41" fontId="98" fillId="0" borderId="0" xfId="56" applyNumberFormat="1" applyFont="1"/>
    <xf numFmtId="41" fontId="37" fillId="0" borderId="0" xfId="56" applyNumberFormat="1" applyFont="1"/>
    <xf numFmtId="164" fontId="10" fillId="0" borderId="11" xfId="14" applyNumberFormat="1" applyFont="1" applyFill="1" applyBorder="1"/>
    <xf numFmtId="0" fontId="37" fillId="0" borderId="0" xfId="281" applyFont="1" applyAlignment="1">
      <alignment horizontal="center"/>
    </xf>
    <xf numFmtId="0" fontId="2" fillId="0" borderId="0" xfId="42" applyFont="1"/>
    <xf numFmtId="0" fontId="98" fillId="0" borderId="0" xfId="42" applyFont="1" applyAlignment="1">
      <alignment horizontal="left"/>
    </xf>
    <xf numFmtId="164" fontId="98" fillId="0" borderId="0" xfId="42" applyNumberFormat="1" applyFont="1"/>
    <xf numFmtId="0" fontId="2" fillId="0" borderId="0" xfId="42" applyFont="1" applyAlignment="1">
      <alignment horizontal="left"/>
    </xf>
    <xf numFmtId="164" fontId="2" fillId="0" borderId="0" xfId="42" applyNumberFormat="1" applyFont="1"/>
    <xf numFmtId="0" fontId="2" fillId="0" borderId="6" xfId="42" applyFont="1" applyBorder="1" applyAlignment="1">
      <alignment horizontal="left"/>
    </xf>
    <xf numFmtId="164" fontId="2" fillId="0" borderId="6" xfId="42" applyNumberFormat="1" applyFont="1" applyBorder="1"/>
    <xf numFmtId="0" fontId="98" fillId="0" borderId="31" xfId="42" applyFont="1" applyBorder="1"/>
    <xf numFmtId="0" fontId="98" fillId="0" borderId="32" xfId="42" applyFont="1" applyBorder="1"/>
    <xf numFmtId="0" fontId="2" fillId="0" borderId="32" xfId="42" applyFont="1" applyBorder="1"/>
    <xf numFmtId="0" fontId="2" fillId="0" borderId="33" xfId="42" applyFont="1" applyBorder="1"/>
    <xf numFmtId="0" fontId="98" fillId="0" borderId="34" xfId="42" applyFont="1" applyBorder="1"/>
    <xf numFmtId="0" fontId="98" fillId="0" borderId="6" xfId="42" applyFont="1" applyBorder="1" applyAlignment="1">
      <alignment horizontal="center" wrapText="1"/>
    </xf>
    <xf numFmtId="233" fontId="98" fillId="0" borderId="6" xfId="42" applyNumberFormat="1" applyFont="1" applyBorder="1" applyAlignment="1">
      <alignment horizontal="center"/>
    </xf>
    <xf numFmtId="233" fontId="98" fillId="0" borderId="6" xfId="42" applyNumberFormat="1" applyFont="1" applyBorder="1" applyAlignment="1">
      <alignment horizontal="center" wrapText="1"/>
    </xf>
    <xf numFmtId="233" fontId="98" fillId="0" borderId="35" xfId="42" applyNumberFormat="1" applyFont="1" applyBorder="1" applyAlignment="1">
      <alignment horizontal="center" wrapText="1"/>
    </xf>
    <xf numFmtId="0" fontId="2" fillId="0" borderId="25" xfId="42" applyFont="1" applyBorder="1" applyAlignment="1">
      <alignment horizontal="left"/>
    </xf>
    <xf numFmtId="0" fontId="2" fillId="0" borderId="0" xfId="42" applyFont="1" applyBorder="1"/>
    <xf numFmtId="164" fontId="2" fillId="0" borderId="0" xfId="42" applyNumberFormat="1" applyFont="1" applyBorder="1"/>
    <xf numFmtId="164" fontId="2" fillId="0" borderId="36" xfId="42" applyNumberFormat="1" applyFont="1" applyBorder="1"/>
    <xf numFmtId="164" fontId="2" fillId="0" borderId="35" xfId="42" applyNumberFormat="1" applyFont="1" applyBorder="1"/>
    <xf numFmtId="0" fontId="2" fillId="0" borderId="37" xfId="42" applyFont="1" applyBorder="1" applyAlignment="1">
      <alignment horizontal="left"/>
    </xf>
    <xf numFmtId="0" fontId="2" fillId="0" borderId="4" xfId="42" applyFont="1" applyBorder="1"/>
    <xf numFmtId="164" fontId="2" fillId="0" borderId="4" xfId="42" applyNumberFormat="1" applyFont="1" applyBorder="1"/>
    <xf numFmtId="164" fontId="98" fillId="0" borderId="38" xfId="42" applyNumberFormat="1" applyFont="1" applyBorder="1"/>
    <xf numFmtId="3" fontId="9" fillId="0" borderId="0" xfId="65" applyNumberFormat="1" applyFont="1" applyFill="1" applyAlignment="1">
      <alignment horizontal="center" textRotation="90" wrapText="1"/>
    </xf>
    <xf numFmtId="37" fontId="0" fillId="0" borderId="9" xfId="0" applyNumberFormat="1" applyBorder="1"/>
    <xf numFmtId="0" fontId="9" fillId="0" borderId="0" xfId="0" applyFont="1" applyFill="1" applyAlignment="1">
      <alignment horizontal="center" textRotation="90"/>
    </xf>
    <xf numFmtId="3" fontId="9" fillId="0" borderId="0" xfId="65" applyNumberFormat="1" applyFont="1" applyAlignment="1">
      <alignment horizontal="center" textRotation="90" wrapText="1"/>
    </xf>
    <xf numFmtId="2" fontId="9" fillId="0" borderId="0" xfId="65" applyNumberFormat="1" applyFont="1" applyFill="1" applyAlignment="1">
      <alignment horizontal="center" vertical="center"/>
    </xf>
    <xf numFmtId="2" fontId="9" fillId="0" borderId="0" xfId="65" quotePrefix="1" applyNumberFormat="1" applyFont="1" applyFill="1" applyAlignment="1">
      <alignment horizontal="center" vertical="center" wrapText="1"/>
    </xf>
    <xf numFmtId="3" fontId="10" fillId="0" borderId="0" xfId="0" applyNumberFormat="1" applyFont="1" applyFill="1"/>
    <xf numFmtId="3" fontId="0" fillId="0" borderId="0" xfId="0" applyNumberFormat="1"/>
    <xf numFmtId="37" fontId="0" fillId="0" borderId="0" xfId="0" applyNumberFormat="1" applyFill="1"/>
    <xf numFmtId="3" fontId="10" fillId="0" borderId="0" xfId="0" applyNumberFormat="1" applyFont="1" applyFill="1" applyBorder="1"/>
    <xf numFmtId="3" fontId="0" fillId="0" borderId="6" xfId="0" applyNumberFormat="1" applyBorder="1"/>
    <xf numFmtId="37" fontId="0" fillId="0" borderId="6" xfId="0" applyNumberFormat="1" applyFill="1" applyBorder="1"/>
    <xf numFmtId="3" fontId="10" fillId="0" borderId="0" xfId="65" applyNumberFormat="1" applyFont="1" applyFill="1" applyBorder="1"/>
    <xf numFmtId="0" fontId="9" fillId="0" borderId="0" xfId="65" quotePrefix="1" applyFont="1" applyFill="1" applyBorder="1" applyAlignment="1">
      <alignment horizontal="right"/>
    </xf>
    <xf numFmtId="3" fontId="10" fillId="0" borderId="9" xfId="65" applyNumberFormat="1" applyFont="1" applyFill="1" applyBorder="1"/>
    <xf numFmtId="0" fontId="24" fillId="0" borderId="0" xfId="65" applyFill="1"/>
    <xf numFmtId="3" fontId="24" fillId="0" borderId="0" xfId="65" applyNumberFormat="1" applyFill="1"/>
    <xf numFmtId="0" fontId="35" fillId="0" borderId="0" xfId="0" applyFont="1" applyBorder="1" applyAlignment="1">
      <alignment horizontal="center"/>
    </xf>
    <xf numFmtId="0" fontId="9" fillId="0" borderId="0" xfId="0" applyFont="1"/>
    <xf numFmtId="37" fontId="0" fillId="0" borderId="11" xfId="0" applyNumberFormat="1" applyFill="1" applyBorder="1"/>
    <xf numFmtId="10" fontId="0" fillId="0" borderId="0" xfId="0" applyNumberFormat="1" applyFill="1"/>
    <xf numFmtId="10" fontId="0" fillId="0" borderId="0" xfId="218" applyNumberFormat="1" applyFont="1" applyFill="1"/>
    <xf numFmtId="3" fontId="10" fillId="0" borderId="0" xfId="0" applyNumberFormat="1" applyFont="1" applyBorder="1"/>
    <xf numFmtId="0" fontId="10" fillId="0" borderId="0" xfId="65" applyFont="1" applyFill="1" applyBorder="1"/>
    <xf numFmtId="0" fontId="10" fillId="0" borderId="0" xfId="65" applyFont="1" applyFill="1"/>
    <xf numFmtId="3" fontId="10" fillId="0" borderId="0" xfId="65" applyNumberFormat="1" applyFont="1" applyFill="1"/>
    <xf numFmtId="0" fontId="9" fillId="0" borderId="0" xfId="0" applyFont="1" applyAlignment="1">
      <alignment horizontal="center"/>
    </xf>
    <xf numFmtId="0" fontId="9" fillId="0" borderId="0" xfId="0" applyFont="1" applyBorder="1" applyAlignment="1">
      <alignment horizontal="center"/>
    </xf>
    <xf numFmtId="0" fontId="10" fillId="0" borderId="0" xfId="282" applyFont="1"/>
    <xf numFmtId="0" fontId="102" fillId="0" borderId="0" xfId="282" quotePrefix="1"/>
    <xf numFmtId="41" fontId="34" fillId="0" borderId="2" xfId="11" applyFont="1" applyFill="1" applyBorder="1"/>
    <xf numFmtId="41" fontId="34" fillId="0" borderId="0" xfId="11" applyFont="1" applyFill="1"/>
    <xf numFmtId="41" fontId="34" fillId="0" borderId="0" xfId="11" applyFont="1" applyFill="1" applyBorder="1"/>
    <xf numFmtId="41" fontId="34" fillId="0" borderId="11" xfId="56" applyNumberFormat="1" applyFont="1" applyBorder="1"/>
    <xf numFmtId="0" fontId="45" fillId="0" borderId="0" xfId="56" applyFill="1"/>
    <xf numFmtId="0" fontId="10" fillId="0" borderId="0" xfId="47" applyFill="1"/>
    <xf numFmtId="0" fontId="37" fillId="0" borderId="0" xfId="56" applyFont="1" applyFill="1"/>
    <xf numFmtId="0" fontId="1" fillId="0" borderId="0" xfId="0" applyFont="1"/>
    <xf numFmtId="0" fontId="99" fillId="0" borderId="0" xfId="0" applyFont="1" applyFill="1" applyAlignment="1">
      <alignment horizontal="center"/>
    </xf>
    <xf numFmtId="164" fontId="107" fillId="0" borderId="0" xfId="50" applyNumberFormat="1" applyFont="1" applyFill="1" applyAlignment="1"/>
    <xf numFmtId="164" fontId="10" fillId="0" borderId="0" xfId="50" applyNumberFormat="1" applyFont="1" applyFill="1" applyAlignment="1"/>
    <xf numFmtId="164" fontId="107" fillId="0" borderId="0" xfId="0" applyNumberFormat="1" applyFont="1" applyFill="1"/>
    <xf numFmtId="164" fontId="10" fillId="0" borderId="0" xfId="0" applyNumberFormat="1" applyFont="1" applyFill="1"/>
    <xf numFmtId="164" fontId="10" fillId="0" borderId="0" xfId="280" applyNumberFormat="1" applyFont="1" applyFill="1"/>
    <xf numFmtId="164" fontId="10" fillId="0" borderId="11" xfId="0" applyNumberFormat="1" applyFont="1" applyFill="1" applyBorder="1"/>
    <xf numFmtId="0" fontId="1" fillId="0" borderId="0" xfId="0" quotePrefix="1" applyFont="1" applyAlignment="1">
      <alignment horizontal="right"/>
    </xf>
    <xf numFmtId="0" fontId="54" fillId="0" borderId="0" xfId="88" applyFont="1" applyFill="1" applyAlignment="1">
      <alignment horizontal="left" indent="1"/>
    </xf>
    <xf numFmtId="0" fontId="9" fillId="0" borderId="0" xfId="41" applyFont="1" applyAlignment="1">
      <alignment horizontal="center" vertical="top"/>
    </xf>
    <xf numFmtId="0" fontId="9" fillId="0" borderId="0" xfId="41" quotePrefix="1" applyFont="1" applyAlignment="1">
      <alignment horizontal="center" vertical="top"/>
    </xf>
    <xf numFmtId="0" fontId="0" fillId="0" borderId="0" xfId="0" applyAlignment="1">
      <alignment horizontal="justify" vertical="center"/>
    </xf>
    <xf numFmtId="0" fontId="0" fillId="0" borderId="0" xfId="0" quotePrefix="1" applyAlignment="1">
      <alignment horizontal="justify" vertical="center"/>
    </xf>
    <xf numFmtId="175" fontId="52" fillId="0" borderId="0" xfId="91" applyFont="1" applyAlignment="1">
      <alignment horizontal="center"/>
    </xf>
    <xf numFmtId="0" fontId="9" fillId="0" borderId="0" xfId="41" applyFont="1" applyAlignment="1">
      <alignment horizontal="center" vertical="top"/>
    </xf>
    <xf numFmtId="0" fontId="9" fillId="0" borderId="0" xfId="41" quotePrefix="1" applyFont="1" applyAlignment="1">
      <alignment horizontal="center" vertical="top"/>
    </xf>
    <xf numFmtId="0" fontId="9" fillId="0" borderId="0" xfId="39" applyFont="1" applyAlignment="1" applyProtection="1">
      <alignment horizontal="center"/>
      <protection locked="0"/>
    </xf>
    <xf numFmtId="172" fontId="9" fillId="0" borderId="0" xfId="39" applyNumberFormat="1" applyFont="1" applyAlignment="1" applyProtection="1">
      <alignment horizontal="center"/>
      <protection locked="0"/>
    </xf>
    <xf numFmtId="0" fontId="29" fillId="0" borderId="0" xfId="0" quotePrefix="1" applyFont="1" applyAlignment="1">
      <alignment horizontal="center"/>
    </xf>
    <xf numFmtId="0" fontId="29" fillId="0" borderId="0" xfId="0" applyFont="1" applyAlignment="1">
      <alignment horizontal="center"/>
    </xf>
    <xf numFmtId="15" fontId="29" fillId="0" borderId="0" xfId="0" applyNumberFormat="1" applyFont="1" applyAlignment="1">
      <alignment horizontal="center"/>
    </xf>
    <xf numFmtId="0" fontId="40" fillId="0" borderId="6" xfId="45" applyFont="1" applyBorder="1" applyAlignment="1">
      <alignment horizontal="center"/>
    </xf>
    <xf numFmtId="0" fontId="34" fillId="0" borderId="6" xfId="56" applyFont="1" applyBorder="1" applyAlignment="1">
      <alignment horizontal="center"/>
    </xf>
    <xf numFmtId="0" fontId="52" fillId="0" borderId="0" xfId="0" applyFont="1" applyAlignment="1">
      <alignment horizontal="center"/>
    </xf>
    <xf numFmtId="0" fontId="29" fillId="0" borderId="6" xfId="50" applyFont="1" applyBorder="1" applyAlignment="1">
      <alignment horizontal="center"/>
    </xf>
    <xf numFmtId="0" fontId="29" fillId="0" borderId="0" xfId="50" applyFont="1" applyBorder="1" applyAlignment="1">
      <alignment horizontal="center"/>
    </xf>
    <xf numFmtId="0" fontId="13" fillId="0" borderId="0" xfId="281" applyFont="1" applyAlignment="1">
      <alignment horizontal="left" wrapText="1"/>
    </xf>
    <xf numFmtId="0" fontId="9" fillId="0" borderId="0" xfId="58" applyFont="1" applyFill="1" applyBorder="1" applyAlignment="1">
      <alignment horizontal="center" vertical="top"/>
    </xf>
    <xf numFmtId="0" fontId="9" fillId="0" borderId="0" xfId="58" quotePrefix="1" applyFont="1" applyFill="1" applyBorder="1" applyAlignment="1">
      <alignment horizontal="center" vertical="top"/>
    </xf>
    <xf numFmtId="0" fontId="9" fillId="0" borderId="6" xfId="58" applyFont="1" applyFill="1" applyBorder="1" applyAlignment="1">
      <alignment horizontal="center" vertical="top"/>
    </xf>
    <xf numFmtId="0" fontId="13" fillId="0" borderId="0" xfId="281" applyFont="1" applyBorder="1" applyAlignment="1">
      <alignment wrapText="1"/>
    </xf>
    <xf numFmtId="0" fontId="37" fillId="0" borderId="0" xfId="281" applyFont="1" applyAlignment="1">
      <alignment horizontal="center"/>
    </xf>
    <xf numFmtId="0" fontId="37" fillId="0" borderId="0" xfId="50" quotePrefix="1" applyFont="1" applyAlignment="1">
      <alignment horizontal="center"/>
    </xf>
    <xf numFmtId="0" fontId="37" fillId="0" borderId="0" xfId="50" applyFont="1" applyAlignment="1">
      <alignment horizontal="center"/>
    </xf>
    <xf numFmtId="0" fontId="9" fillId="0" borderId="0" xfId="282" applyFont="1" applyAlignment="1">
      <alignment horizontal="right"/>
    </xf>
    <xf numFmtId="0" fontId="9" fillId="0" borderId="0" xfId="282" quotePrefix="1" applyFont="1" applyAlignment="1">
      <alignment horizontal="center"/>
    </xf>
    <xf numFmtId="3" fontId="9" fillId="0" borderId="0" xfId="65" quotePrefix="1" applyNumberFormat="1" applyFont="1" applyFill="1" applyAlignment="1">
      <alignment horizontal="center"/>
    </xf>
    <xf numFmtId="0" fontId="9" fillId="0" borderId="0" xfId="0" quotePrefix="1" applyFont="1" applyAlignment="1">
      <alignment horizontal="right" wrapText="1"/>
    </xf>
    <xf numFmtId="0" fontId="9" fillId="0" borderId="0" xfId="0" applyFont="1" applyAlignment="1">
      <alignment horizontal="right"/>
    </xf>
    <xf numFmtId="0" fontId="9" fillId="0" borderId="0" xfId="0" quotePrefix="1" applyFont="1" applyAlignment="1">
      <alignment horizontal="right"/>
    </xf>
    <xf numFmtId="0" fontId="9" fillId="0" borderId="0" xfId="282" applyFont="1" applyAlignment="1">
      <alignment horizontal="center"/>
    </xf>
    <xf numFmtId="0" fontId="0" fillId="0" borderId="0" xfId="0" applyAlignment="1">
      <alignment horizontal="center"/>
    </xf>
    <xf numFmtId="0" fontId="37" fillId="0" borderId="0" xfId="62" applyFont="1" applyFill="1" applyAlignment="1">
      <alignment horizontal="center"/>
    </xf>
    <xf numFmtId="0" fontId="9" fillId="0" borderId="0" xfId="53" quotePrefix="1" applyFont="1" applyAlignment="1">
      <alignment horizontal="center"/>
    </xf>
    <xf numFmtId="0" fontId="9" fillId="0" borderId="0" xfId="53" applyFont="1" applyAlignment="1">
      <alignment horizontal="center"/>
    </xf>
    <xf numFmtId="0" fontId="37" fillId="0" borderId="0" xfId="56" applyFont="1" applyAlignment="1">
      <alignment horizontal="left" wrapText="1"/>
    </xf>
    <xf numFmtId="0" fontId="9" fillId="0" borderId="0" xfId="40" applyFont="1" applyFill="1" applyAlignment="1">
      <alignment horizontal="center"/>
    </xf>
    <xf numFmtId="0" fontId="9" fillId="0" borderId="0" xfId="40" quotePrefix="1" applyFont="1" applyFill="1" applyAlignment="1">
      <alignment horizontal="center"/>
    </xf>
    <xf numFmtId="0" fontId="47" fillId="0" borderId="6" xfId="0" applyFont="1" applyFill="1" applyBorder="1" applyAlignment="1">
      <alignment horizontal="center"/>
    </xf>
    <xf numFmtId="43" fontId="47" fillId="0" borderId="4" xfId="90" quotePrefix="1" applyFont="1" applyFill="1" applyBorder="1" applyAlignment="1">
      <alignment horizontal="center"/>
    </xf>
    <xf numFmtId="0" fontId="48" fillId="0" borderId="0" xfId="0" quotePrefix="1" applyFont="1" applyFill="1" applyBorder="1" applyAlignment="1">
      <alignment horizontal="center" vertical="top"/>
    </xf>
    <xf numFmtId="0" fontId="48" fillId="0" borderId="0" xfId="0" applyFont="1" applyFill="1" applyBorder="1" applyAlignment="1">
      <alignment horizontal="center" vertical="top"/>
    </xf>
    <xf numFmtId="0" fontId="49" fillId="0" borderId="0" xfId="0" applyFont="1" applyFill="1" applyAlignment="1">
      <alignment horizontal="center"/>
    </xf>
    <xf numFmtId="41" fontId="10" fillId="0" borderId="20" xfId="87" applyNumberFormat="1" applyFont="1" applyBorder="1" applyAlignment="1">
      <alignment horizontal="center" vertical="top"/>
    </xf>
    <xf numFmtId="41" fontId="10" fillId="0" borderId="21" xfId="87" applyNumberFormat="1" applyFont="1" applyBorder="1" applyAlignment="1">
      <alignment horizontal="center" vertical="top"/>
    </xf>
    <xf numFmtId="0" fontId="9" fillId="0" borderId="0" xfId="87" quotePrefix="1" applyFont="1" applyAlignment="1">
      <alignment horizontal="center" vertical="top"/>
    </xf>
    <xf numFmtId="0" fontId="9" fillId="0" borderId="0" xfId="87" applyFont="1" applyAlignment="1">
      <alignment horizontal="center" vertical="top"/>
    </xf>
    <xf numFmtId="0" fontId="49" fillId="0" borderId="0" xfId="0" applyFont="1" applyAlignment="1">
      <alignment horizontal="center"/>
    </xf>
  </cellXfs>
  <cellStyles count="283">
    <cellStyle name="=C:\WINNT35\SYSTEM32\COMMAND.COM" xfId="94"/>
    <cellStyle name="black" xfId="95"/>
    <cellStyle name="blu" xfId="96"/>
    <cellStyle name="Body" xfId="1"/>
    <cellStyle name="bot" xfId="97"/>
    <cellStyle name="Bullet" xfId="98"/>
    <cellStyle name="c" xfId="99"/>
    <cellStyle name="c," xfId="100"/>
    <cellStyle name="c_HardInc " xfId="101"/>
    <cellStyle name="C00A" xfId="102"/>
    <cellStyle name="C00B" xfId="103"/>
    <cellStyle name="C00L" xfId="104"/>
    <cellStyle name="C01A" xfId="105"/>
    <cellStyle name="C01B" xfId="106"/>
    <cellStyle name="C01H" xfId="107"/>
    <cellStyle name="C01L" xfId="108"/>
    <cellStyle name="C02A" xfId="109"/>
    <cellStyle name="C02B" xfId="110"/>
    <cellStyle name="C02H" xfId="111"/>
    <cellStyle name="C02L" xfId="112"/>
    <cellStyle name="C03A" xfId="113"/>
    <cellStyle name="C03B" xfId="114"/>
    <cellStyle name="C03H" xfId="115"/>
    <cellStyle name="C03L" xfId="116"/>
    <cellStyle name="C04A" xfId="117"/>
    <cellStyle name="C04B" xfId="118"/>
    <cellStyle name="C04H" xfId="119"/>
    <cellStyle name="C04L" xfId="120"/>
    <cellStyle name="C05A" xfId="121"/>
    <cellStyle name="C05B" xfId="122"/>
    <cellStyle name="C05H" xfId="123"/>
    <cellStyle name="C05L" xfId="124"/>
    <cellStyle name="C06A" xfId="125"/>
    <cellStyle name="C06B" xfId="126"/>
    <cellStyle name="C06H" xfId="127"/>
    <cellStyle name="C06L" xfId="128"/>
    <cellStyle name="C07A" xfId="129"/>
    <cellStyle name="C07B" xfId="130"/>
    <cellStyle name="C07H" xfId="131"/>
    <cellStyle name="C07L" xfId="132"/>
    <cellStyle name="c1" xfId="133"/>
    <cellStyle name="c1," xfId="134"/>
    <cellStyle name="c2" xfId="135"/>
    <cellStyle name="c2," xfId="136"/>
    <cellStyle name="c3" xfId="137"/>
    <cellStyle name="cas" xfId="138"/>
    <cellStyle name="Centered Heading" xfId="139"/>
    <cellStyle name="Comma" xfId="86"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 2" xfId="10"/>
    <cellStyle name="Comma [0] 2 2" xfId="11"/>
    <cellStyle name="Comma 0.0" xfId="140"/>
    <cellStyle name="Comma 0.00" xfId="141"/>
    <cellStyle name="Comma 0.000" xfId="142"/>
    <cellStyle name="Comma 0.0000" xfId="143"/>
    <cellStyle name="Comma 10" xfId="280"/>
    <cellStyle name="Comma 2" xfId="12"/>
    <cellStyle name="Comma 2 2" xfId="13"/>
    <cellStyle name="Comma 3" xfId="14"/>
    <cellStyle name="Comma 3 2" xfId="15"/>
    <cellStyle name="Comma 3 3" xfId="144"/>
    <cellStyle name="Comma 4" xfId="16"/>
    <cellStyle name="Comma 5" xfId="17"/>
    <cellStyle name="Comma 6" xfId="18"/>
    <cellStyle name="Comma 7" xfId="90"/>
    <cellStyle name="Comma 8" xfId="276"/>
    <cellStyle name="Comma 9" xfId="278"/>
    <cellStyle name="Comma0" xfId="145"/>
    <cellStyle name="Comma0 - Style2" xfId="19"/>
    <cellStyle name="Company Name" xfId="146"/>
    <cellStyle name="Currency [$0]" xfId="20"/>
    <cellStyle name="Currency [£0]" xfId="21"/>
    <cellStyle name="Currency 0.0" xfId="147"/>
    <cellStyle name="Currency 0.00" xfId="148"/>
    <cellStyle name="Currency 0.000" xfId="149"/>
    <cellStyle name="Currency 0.0000" xfId="150"/>
    <cellStyle name="Currency 2" xfId="22"/>
    <cellStyle name="Currency 2 2" xfId="151"/>
    <cellStyle name="Currency 3" xfId="23"/>
    <cellStyle name="Currency 3 2" xfId="24"/>
    <cellStyle name="Currency 4" xfId="25"/>
    <cellStyle name="Currency 5" xfId="26"/>
    <cellStyle name="Currency 6" xfId="92"/>
    <cellStyle name="Currency0" xfId="152"/>
    <cellStyle name="d" xfId="153"/>
    <cellStyle name="d," xfId="154"/>
    <cellStyle name="d1" xfId="155"/>
    <cellStyle name="d1," xfId="156"/>
    <cellStyle name="d2" xfId="157"/>
    <cellStyle name="d2," xfId="158"/>
    <cellStyle name="d3" xfId="159"/>
    <cellStyle name="Dash" xfId="160"/>
    <cellStyle name="Date" xfId="161"/>
    <cellStyle name="Define$0" xfId="162"/>
    <cellStyle name="Define$1" xfId="163"/>
    <cellStyle name="Define$2" xfId="164"/>
    <cellStyle name="Define0" xfId="165"/>
    <cellStyle name="Define1" xfId="166"/>
    <cellStyle name="Define1x" xfId="167"/>
    <cellStyle name="Define2" xfId="168"/>
    <cellStyle name="Define2x" xfId="169"/>
    <cellStyle name="Dollar" xfId="170"/>
    <cellStyle name="e" xfId="171"/>
    <cellStyle name="e1" xfId="172"/>
    <cellStyle name="e2" xfId="173"/>
    <cellStyle name="Euro" xfId="174"/>
    <cellStyle name="Fixed" xfId="175"/>
    <cellStyle name="Formula" xfId="27"/>
    <cellStyle name="fred" xfId="28"/>
    <cellStyle name="Fred%" xfId="29"/>
    <cellStyle name="fred_EGSI_TX_LA_SPLIT_BS_12_05_rev" xfId="30"/>
    <cellStyle name="g" xfId="176"/>
    <cellStyle name="general" xfId="177"/>
    <cellStyle name="Green" xfId="178"/>
    <cellStyle name="Grey" xfId="31"/>
    <cellStyle name="Header" xfId="32"/>
    <cellStyle name="Header1" xfId="33"/>
    <cellStyle name="Header2" xfId="34"/>
    <cellStyle name="Heading" xfId="35"/>
    <cellStyle name="Heading No Underline" xfId="179"/>
    <cellStyle name="Heading With Underline" xfId="180"/>
    <cellStyle name="Heading1" xfId="181"/>
    <cellStyle name="Heading2" xfId="182"/>
    <cellStyle name="Headline" xfId="183"/>
    <cellStyle name="Highlight" xfId="184"/>
    <cellStyle name="in" xfId="185"/>
    <cellStyle name="Input [yellow]" xfId="36"/>
    <cellStyle name="Input$0" xfId="186"/>
    <cellStyle name="Input$1" xfId="187"/>
    <cellStyle name="Input$2" xfId="188"/>
    <cellStyle name="Input0" xfId="189"/>
    <cellStyle name="Input1" xfId="190"/>
    <cellStyle name="Input1x" xfId="191"/>
    <cellStyle name="Input2" xfId="192"/>
    <cellStyle name="Input2x" xfId="193"/>
    <cellStyle name="lborder" xfId="194"/>
    <cellStyle name="m" xfId="195"/>
    <cellStyle name="m1" xfId="196"/>
    <cellStyle name="m2" xfId="197"/>
    <cellStyle name="m3" xfId="198"/>
    <cellStyle name="Negative" xfId="199"/>
    <cellStyle name="no dec" xfId="37"/>
    <cellStyle name="Normal" xfId="0" builtinId="0"/>
    <cellStyle name="Normal - Style1" xfId="38"/>
    <cellStyle name="Normal 10" xfId="39"/>
    <cellStyle name="Normal 11" xfId="40"/>
    <cellStyle name="Normal 12" xfId="41"/>
    <cellStyle name="Normal 12 2" xfId="87"/>
    <cellStyle name="Normal 13" xfId="42"/>
    <cellStyle name="Normal 14" xfId="43"/>
    <cellStyle name="Normal 15" xfId="44"/>
    <cellStyle name="Normal 16" xfId="45"/>
    <cellStyle name="Normal 17" xfId="46"/>
    <cellStyle name="Normal 17 2" xfId="47"/>
    <cellStyle name="Normal 18" xfId="48"/>
    <cellStyle name="Normal 19" xfId="85"/>
    <cellStyle name="Normal 2" xfId="49"/>
    <cellStyle name="Normal 2 2" xfId="200"/>
    <cellStyle name="Normal 20" xfId="88"/>
    <cellStyle name="Normal 21" xfId="91"/>
    <cellStyle name="Normal 22" xfId="275"/>
    <cellStyle name="Normal 23" xfId="277"/>
    <cellStyle name="Normal 24" xfId="279"/>
    <cellStyle name="Normal 25" xfId="282"/>
    <cellStyle name="Normal 3" xfId="50"/>
    <cellStyle name="Normal 3 2" xfId="51"/>
    <cellStyle name="Normal 3 3" xfId="201"/>
    <cellStyle name="Normal 3_ITC-Great Plains Heintz 6-24-08a" xfId="202"/>
    <cellStyle name="Normal 4" xfId="52"/>
    <cellStyle name="Normal 4 2" xfId="53"/>
    <cellStyle name="Normal 4_ITC-Great Plains Heintz 6-24-08a" xfId="203"/>
    <cellStyle name="Normal 5" xfId="54"/>
    <cellStyle name="Normal 5 2" xfId="55"/>
    <cellStyle name="Normal 5 3" xfId="56"/>
    <cellStyle name="Normal 5 3_EAI Workpapers" xfId="89"/>
    <cellStyle name="Normal 6" xfId="57"/>
    <cellStyle name="Normal 7" xfId="58"/>
    <cellStyle name="Normal 7 2" xfId="59"/>
    <cellStyle name="Normal 7 3" xfId="281"/>
    <cellStyle name="Normal 8" xfId="60"/>
    <cellStyle name="Normal 8 2" xfId="61"/>
    <cellStyle name="Normal 9" xfId="62"/>
    <cellStyle name="Normal 9 2" xfId="63"/>
    <cellStyle name="Normal_2003OATT3PERCENT" xfId="64"/>
    <cellStyle name="Normal_MSS2LOAD" xfId="65"/>
    <cellStyle name="Normal_PLANT_1999" xfId="66"/>
    <cellStyle name="nPlosion" xfId="67"/>
    <cellStyle name="p" xfId="204"/>
    <cellStyle name="p1" xfId="205"/>
    <cellStyle name="p2" xfId="206"/>
    <cellStyle name="p3" xfId="207"/>
    <cellStyle name="Percen - Style1" xfId="68"/>
    <cellStyle name="Percent %" xfId="208"/>
    <cellStyle name="Percent % Long Underline" xfId="209"/>
    <cellStyle name="Percent (0)" xfId="69"/>
    <cellStyle name="Percent [2]" xfId="70"/>
    <cellStyle name="Percent 0.0%" xfId="210"/>
    <cellStyle name="Percent 0.0% Long Underline" xfId="211"/>
    <cellStyle name="Percent 0.00%" xfId="212"/>
    <cellStyle name="Percent 0.00% Long Underline" xfId="213"/>
    <cellStyle name="Percent 0.000%" xfId="214"/>
    <cellStyle name="Percent 0.000% Long Underline" xfId="215"/>
    <cellStyle name="Percent 0.0000%" xfId="216"/>
    <cellStyle name="Percent 0.0000% Long Underline" xfId="217"/>
    <cellStyle name="Percent 2" xfId="71"/>
    <cellStyle name="Percent 2 2" xfId="218"/>
    <cellStyle name="Percent 3" xfId="72"/>
    <cellStyle name="Percent 3 2" xfId="219"/>
    <cellStyle name="Percent 4" xfId="73"/>
    <cellStyle name="Percent 5" xfId="93"/>
    <cellStyle name="Percent0" xfId="220"/>
    <cellStyle name="Percent1" xfId="221"/>
    <cellStyle name="Percent2" xfId="222"/>
    <cellStyle name="PSChar" xfId="74"/>
    <cellStyle name="PSChar 2" xfId="75"/>
    <cellStyle name="PSDate" xfId="76"/>
    <cellStyle name="PSDec" xfId="77"/>
    <cellStyle name="PSDec 2" xfId="78"/>
    <cellStyle name="PSdesc" xfId="223"/>
    <cellStyle name="PSHeading" xfId="79"/>
    <cellStyle name="PSInt" xfId="80"/>
    <cellStyle name="PSSpacer" xfId="81"/>
    <cellStyle name="PStest" xfId="224"/>
    <cellStyle name="R00A" xfId="225"/>
    <cellStyle name="R00B" xfId="226"/>
    <cellStyle name="R00L" xfId="227"/>
    <cellStyle name="R01A" xfId="228"/>
    <cellStyle name="R01B" xfId="229"/>
    <cellStyle name="R01H" xfId="230"/>
    <cellStyle name="R01L" xfId="231"/>
    <cellStyle name="R02A" xfId="232"/>
    <cellStyle name="R02B" xfId="233"/>
    <cellStyle name="R02H" xfId="234"/>
    <cellStyle name="R02L" xfId="235"/>
    <cellStyle name="R03A" xfId="236"/>
    <cellStyle name="R03B" xfId="237"/>
    <cellStyle name="R03H" xfId="238"/>
    <cellStyle name="R03L" xfId="239"/>
    <cellStyle name="R04A" xfId="240"/>
    <cellStyle name="R04B" xfId="241"/>
    <cellStyle name="R04H" xfId="242"/>
    <cellStyle name="R04L" xfId="243"/>
    <cellStyle name="R05A" xfId="244"/>
    <cellStyle name="R05B" xfId="245"/>
    <cellStyle name="R05H" xfId="246"/>
    <cellStyle name="R05L" xfId="247"/>
    <cellStyle name="R06A" xfId="248"/>
    <cellStyle name="R06B" xfId="249"/>
    <cellStyle name="R06H" xfId="250"/>
    <cellStyle name="R06L" xfId="251"/>
    <cellStyle name="R07A" xfId="252"/>
    <cellStyle name="R07B" xfId="253"/>
    <cellStyle name="R07H" xfId="254"/>
    <cellStyle name="R07L" xfId="255"/>
    <cellStyle name="rborder" xfId="256"/>
    <cellStyle name="red" xfId="257"/>
    <cellStyle name="RowLevel_" xfId="82"/>
    <cellStyle name="s_HardInc " xfId="258"/>
    <cellStyle name="TableHeading" xfId="259"/>
    <cellStyle name="tb" xfId="260"/>
    <cellStyle name="Tickmark" xfId="83"/>
    <cellStyle name="Times New Roman" xfId="84"/>
    <cellStyle name="top" xfId="261"/>
    <cellStyle name="w" xfId="262"/>
    <cellStyle name="XComma" xfId="263"/>
    <cellStyle name="XComma 0.0" xfId="264"/>
    <cellStyle name="XComma 0.00" xfId="265"/>
    <cellStyle name="XComma 0.000" xfId="266"/>
    <cellStyle name="XCurrency" xfId="267"/>
    <cellStyle name="XCurrency 0.0" xfId="268"/>
    <cellStyle name="XCurrency 0.00" xfId="269"/>
    <cellStyle name="XCurrency 0.000" xfId="270"/>
    <cellStyle name="yra" xfId="271"/>
    <cellStyle name="yrActual" xfId="272"/>
    <cellStyle name="yre" xfId="273"/>
    <cellStyle name="yrExpect" xfId="27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63500</xdr:rowOff>
    </xdr:from>
    <xdr:to>
      <xdr:col>0</xdr:col>
      <xdr:colOff>492124</xdr:colOff>
      <xdr:row>50</xdr:row>
      <xdr:rowOff>130175</xdr:rowOff>
    </xdr:to>
    <xdr:sp macro="" textlink="">
      <xdr:nvSpPr>
        <xdr:cNvPr id="2" name="Rectangle 1"/>
        <xdr:cNvSpPr/>
      </xdr:nvSpPr>
      <xdr:spPr>
        <a:xfrm>
          <a:off x="0" y="7556500"/>
          <a:ext cx="492124" cy="701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l"/>
          <a:r>
            <a:rPr lang="en-US" sz="1100">
              <a:solidFill>
                <a:sysClr val="windowText" lastClr="000000"/>
              </a:solidFill>
              <a:latin typeface="Arial" panose="020B0604020202020204" pitchFamily="34" charset="0"/>
              <a:cs typeface="Arial" panose="020B0604020202020204" pitchFamily="34" charset="0"/>
            </a:rPr>
            <a:t>WP 8a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defaultRowHeight="14.4"/>
  <cols>
    <col min="1" max="1" width="65.6640625" bestFit="1" customWidth="1"/>
  </cols>
  <sheetData>
    <row r="1" spans="1:1" s="31" customFormat="1" ht="13.2"/>
    <row r="2" spans="1:1" s="31" customFormat="1" ht="13.2"/>
    <row r="3" spans="1:1" s="31" customFormat="1" ht="13.2">
      <c r="A3" s="471" t="str">
        <f>+'WP 1'!D2</f>
        <v>Entergy Arkansas, Inc. (EAI)</v>
      </c>
    </row>
    <row r="4" spans="1:1" s="31" customFormat="1" ht="13.2">
      <c r="A4" s="471" t="s">
        <v>760</v>
      </c>
    </row>
    <row r="5" spans="1:1" s="31" customFormat="1" ht="13.2">
      <c r="A5" s="472"/>
    </row>
    <row r="7" spans="1:1">
      <c r="A7" s="473" t="s">
        <v>761</v>
      </c>
    </row>
    <row r="8" spans="1:1">
      <c r="A8" s="473" t="s">
        <v>768</v>
      </c>
    </row>
    <row r="9" spans="1:1">
      <c r="A9" s="473" t="s">
        <v>769</v>
      </c>
    </row>
    <row r="10" spans="1:1">
      <c r="A10" s="473" t="s">
        <v>770</v>
      </c>
    </row>
    <row r="11" spans="1:1">
      <c r="A11" s="473" t="s">
        <v>771</v>
      </c>
    </row>
    <row r="12" spans="1:1">
      <c r="A12" s="473" t="s">
        <v>772</v>
      </c>
    </row>
    <row r="13" spans="1:1">
      <c r="A13" s="473" t="s">
        <v>773</v>
      </c>
    </row>
    <row r="14" spans="1:1">
      <c r="A14" s="473" t="s">
        <v>762</v>
      </c>
    </row>
    <row r="15" spans="1:1">
      <c r="A15" s="473" t="s">
        <v>763</v>
      </c>
    </row>
    <row r="16" spans="1:1">
      <c r="A16" s="474" t="s">
        <v>777</v>
      </c>
    </row>
    <row r="17" spans="1:1">
      <c r="A17" s="474" t="s">
        <v>778</v>
      </c>
    </row>
    <row r="18" spans="1:1">
      <c r="A18" s="473" t="s">
        <v>774</v>
      </c>
    </row>
    <row r="19" spans="1:1">
      <c r="A19" s="473" t="s">
        <v>764</v>
      </c>
    </row>
    <row r="20" spans="1:1">
      <c r="A20" s="473" t="s">
        <v>775</v>
      </c>
    </row>
    <row r="21" spans="1:1">
      <c r="A21" s="473" t="s">
        <v>765</v>
      </c>
    </row>
    <row r="22" spans="1:1">
      <c r="A22" s="473" t="s">
        <v>766</v>
      </c>
    </row>
    <row r="23" spans="1:1">
      <c r="A23" s="473" t="s">
        <v>776</v>
      </c>
    </row>
    <row r="24" spans="1:1">
      <c r="A24" s="474" t="s">
        <v>767</v>
      </c>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7" zoomScaleNormal="100" workbookViewId="0">
      <selection activeCell="B33" sqref="B33"/>
    </sheetView>
  </sheetViews>
  <sheetFormatPr defaultColWidth="9.109375" defaultRowHeight="13.2"/>
  <cols>
    <col min="1" max="1" width="16.44140625" style="399" customWidth="1"/>
    <col min="2" max="2" width="27.109375" style="399" customWidth="1"/>
    <col min="3" max="7" width="14" style="399" bestFit="1" customWidth="1"/>
    <col min="8" max="8" width="19.6640625" style="399" customWidth="1"/>
    <col min="9" max="16384" width="9.109375" style="399"/>
  </cols>
  <sheetData>
    <row r="1" spans="1:8">
      <c r="A1" s="493" t="s">
        <v>0</v>
      </c>
      <c r="B1" s="493"/>
      <c r="C1" s="493"/>
      <c r="D1" s="493"/>
      <c r="E1" s="493"/>
      <c r="F1" s="493"/>
      <c r="G1" s="493"/>
      <c r="H1" s="493"/>
    </row>
    <row r="2" spans="1:8">
      <c r="A2" s="493" t="s">
        <v>686</v>
      </c>
      <c r="B2" s="493"/>
      <c r="C2" s="493"/>
      <c r="D2" s="493"/>
      <c r="E2" s="493"/>
      <c r="F2" s="493"/>
      <c r="G2" s="493"/>
      <c r="H2" s="493"/>
    </row>
    <row r="3" spans="1:8">
      <c r="A3" s="493" t="s">
        <v>614</v>
      </c>
      <c r="B3" s="493"/>
      <c r="C3" s="493"/>
      <c r="D3" s="493"/>
      <c r="E3" s="493"/>
      <c r="F3" s="493"/>
      <c r="G3" s="493"/>
      <c r="H3" s="493"/>
    </row>
    <row r="4" spans="1:8">
      <c r="A4" s="398"/>
      <c r="B4" s="398"/>
      <c r="C4" s="398"/>
      <c r="D4" s="398"/>
    </row>
    <row r="6" spans="1:8">
      <c r="A6" s="400" t="s">
        <v>43</v>
      </c>
      <c r="B6" s="401">
        <v>-13109275.84</v>
      </c>
    </row>
    <row r="7" spans="1:8">
      <c r="A7" s="402" t="s">
        <v>45</v>
      </c>
      <c r="B7" s="403">
        <v>-4591161.24</v>
      </c>
    </row>
    <row r="8" spans="1:8">
      <c r="A8" s="402" t="s">
        <v>44</v>
      </c>
      <c r="B8" s="403">
        <v>-3027964.12</v>
      </c>
    </row>
    <row r="9" spans="1:8">
      <c r="A9" s="402" t="s">
        <v>46</v>
      </c>
      <c r="B9" s="403">
        <v>-2613313.2799999998</v>
      </c>
    </row>
    <row r="10" spans="1:8">
      <c r="A10" s="402" t="s">
        <v>47</v>
      </c>
      <c r="B10" s="403">
        <v>-782387.48</v>
      </c>
    </row>
    <row r="11" spans="1:8">
      <c r="A11" s="404" t="s">
        <v>48</v>
      </c>
      <c r="B11" s="405">
        <v>-2261911.92</v>
      </c>
    </row>
    <row r="12" spans="1:8">
      <c r="A12" s="402" t="s">
        <v>56</v>
      </c>
      <c r="B12" s="403">
        <f>SUM(B6:B11)</f>
        <v>-26386013.880000003</v>
      </c>
    </row>
    <row r="14" spans="1:8" ht="13.8" thickBot="1"/>
    <row r="15" spans="1:8">
      <c r="A15" s="406"/>
      <c r="B15" s="407"/>
      <c r="C15" s="408"/>
      <c r="D15" s="408"/>
      <c r="E15" s="408"/>
      <c r="F15" s="408"/>
      <c r="G15" s="408"/>
      <c r="H15" s="409"/>
    </row>
    <row r="16" spans="1:8" ht="26.4">
      <c r="A16" s="410" t="s">
        <v>90</v>
      </c>
      <c r="B16" s="411" t="s">
        <v>689</v>
      </c>
      <c r="C16" s="412">
        <v>41670</v>
      </c>
      <c r="D16" s="412">
        <v>41698</v>
      </c>
      <c r="E16" s="412">
        <v>41729</v>
      </c>
      <c r="F16" s="413" t="s">
        <v>56</v>
      </c>
      <c r="G16" s="413" t="s">
        <v>690</v>
      </c>
      <c r="H16" s="414" t="s">
        <v>691</v>
      </c>
    </row>
    <row r="17" spans="1:8">
      <c r="A17" s="415" t="s">
        <v>692</v>
      </c>
      <c r="B17" s="416" t="s">
        <v>693</v>
      </c>
      <c r="C17" s="417">
        <v>-33895.769999999997</v>
      </c>
      <c r="D17" s="417">
        <v>-49067.26</v>
      </c>
      <c r="E17" s="417">
        <v>-3653.06</v>
      </c>
      <c r="F17" s="417">
        <v>-86616.09</v>
      </c>
      <c r="G17" s="417">
        <f>F17/3</f>
        <v>-28872.03</v>
      </c>
      <c r="H17" s="418">
        <f>G17*12</f>
        <v>-346464.36</v>
      </c>
    </row>
    <row r="18" spans="1:8">
      <c r="A18" s="415" t="s">
        <v>694</v>
      </c>
      <c r="B18" s="416" t="s">
        <v>695</v>
      </c>
      <c r="C18" s="417">
        <v>-1034440.55</v>
      </c>
      <c r="D18" s="417">
        <v>-929147.47</v>
      </c>
      <c r="E18" s="417">
        <v>-1029037.03</v>
      </c>
      <c r="F18" s="417">
        <v>-2992625.05</v>
      </c>
      <c r="G18" s="417">
        <f>F18/3</f>
        <v>-997541.68333333323</v>
      </c>
      <c r="H18" s="418">
        <f>G18*12</f>
        <v>-11970500.199999999</v>
      </c>
    </row>
    <row r="19" spans="1:8">
      <c r="A19" s="415" t="s">
        <v>696</v>
      </c>
      <c r="B19" s="416" t="s">
        <v>697</v>
      </c>
      <c r="C19" s="405">
        <v>-74129.89</v>
      </c>
      <c r="D19" s="405">
        <v>-60438.96</v>
      </c>
      <c r="E19" s="405">
        <v>-63508.97</v>
      </c>
      <c r="F19" s="405">
        <v>-198077.82</v>
      </c>
      <c r="G19" s="405">
        <f>F19/3</f>
        <v>-66025.94</v>
      </c>
      <c r="H19" s="419">
        <f>G19*12</f>
        <v>-792311.28</v>
      </c>
    </row>
    <row r="20" spans="1:8" ht="13.8" thickBot="1">
      <c r="A20" s="420" t="s">
        <v>56</v>
      </c>
      <c r="B20" s="421"/>
      <c r="C20" s="422">
        <f>SUM(C17:C19)</f>
        <v>-1142466.21</v>
      </c>
      <c r="D20" s="422">
        <f t="shared" ref="D20:H20" si="0">SUM(D17:D19)</f>
        <v>-1038653.69</v>
      </c>
      <c r="E20" s="422">
        <f t="shared" si="0"/>
        <v>-1096199.06</v>
      </c>
      <c r="F20" s="422">
        <f t="shared" si="0"/>
        <v>-3277318.9599999995</v>
      </c>
      <c r="G20" s="422">
        <f t="shared" si="0"/>
        <v>-1092439.6533333333</v>
      </c>
      <c r="H20" s="423">
        <f t="shared" si="0"/>
        <v>-13109275.839999998</v>
      </c>
    </row>
    <row r="31" spans="1:8">
      <c r="B31" s="399" t="s">
        <v>646</v>
      </c>
    </row>
  </sheetData>
  <mergeCells count="3">
    <mergeCell ref="A1:H1"/>
    <mergeCell ref="A2:H2"/>
    <mergeCell ref="A3:H3"/>
  </mergeCells>
  <pageMargins left="0.7" right="0.7" top="0.75" bottom="0.65" header="0.3" footer="0.3"/>
  <pageSetup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31"/>
  <sheetViews>
    <sheetView workbookViewId="0">
      <selection activeCell="B33" sqref="B33"/>
    </sheetView>
  </sheetViews>
  <sheetFormatPr defaultColWidth="9.109375" defaultRowHeight="13.2"/>
  <cols>
    <col min="1" max="1" width="12.88671875" style="388" customWidth="1"/>
    <col min="2" max="2" width="14.109375" style="375" bestFit="1" customWidth="1"/>
    <col min="3" max="3" width="19.5546875" style="375" bestFit="1" customWidth="1"/>
    <col min="4" max="4" width="18" style="375" bestFit="1" customWidth="1"/>
    <col min="5" max="5" width="16.109375" style="375" bestFit="1" customWidth="1"/>
    <col min="6" max="16384" width="9.109375" style="375"/>
  </cols>
  <sheetData>
    <row r="1" spans="1:7">
      <c r="A1" s="384" t="s">
        <v>58</v>
      </c>
      <c r="B1" s="374"/>
      <c r="C1" s="374"/>
      <c r="D1" s="374"/>
      <c r="E1" s="374"/>
    </row>
    <row r="2" spans="1:7">
      <c r="A2" s="494" t="s">
        <v>645</v>
      </c>
      <c r="B2" s="495"/>
      <c r="C2" s="495"/>
      <c r="D2" s="495"/>
      <c r="E2" s="495"/>
      <c r="F2" s="376"/>
      <c r="G2" s="376"/>
    </row>
    <row r="3" spans="1:7">
      <c r="A3" s="495" t="s">
        <v>100</v>
      </c>
      <c r="B3" s="495"/>
      <c r="C3" s="495"/>
      <c r="D3" s="495"/>
      <c r="E3" s="495"/>
      <c r="F3" s="376"/>
      <c r="G3" s="376"/>
    </row>
    <row r="4" spans="1:7">
      <c r="A4" s="385"/>
      <c r="B4" s="377"/>
      <c r="C4" s="377"/>
      <c r="D4" s="377"/>
      <c r="E4" s="377"/>
      <c r="F4" s="377"/>
      <c r="G4" s="377"/>
    </row>
    <row r="5" spans="1:7">
      <c r="A5" s="385"/>
      <c r="B5" s="377"/>
      <c r="C5" s="377"/>
      <c r="D5" s="377"/>
      <c r="E5" s="377"/>
      <c r="F5" s="377"/>
      <c r="G5" s="377"/>
    </row>
    <row r="6" spans="1:7">
      <c r="A6" s="386"/>
      <c r="B6" s="382" t="s">
        <v>174</v>
      </c>
      <c r="C6" s="382" t="s">
        <v>644</v>
      </c>
      <c r="D6" s="382" t="s">
        <v>175</v>
      </c>
      <c r="E6" s="383" t="s">
        <v>176</v>
      </c>
      <c r="F6" s="377"/>
      <c r="G6" s="377"/>
    </row>
    <row r="7" spans="1:7">
      <c r="A7" s="385" t="s">
        <v>43</v>
      </c>
      <c r="B7" s="378">
        <v>463118.13999999996</v>
      </c>
      <c r="C7" s="378">
        <v>497876.75</v>
      </c>
      <c r="D7" s="378">
        <v>11233.41</v>
      </c>
      <c r="E7" s="379">
        <f>SUM(B7:D7)</f>
        <v>972228.29999999993</v>
      </c>
      <c r="F7" s="377"/>
      <c r="G7" s="377"/>
    </row>
    <row r="8" spans="1:7">
      <c r="A8" s="385" t="s">
        <v>44</v>
      </c>
      <c r="B8" s="378">
        <v>609798.84000000008</v>
      </c>
      <c r="C8" s="378">
        <v>654157.89999999991</v>
      </c>
      <c r="D8" s="378">
        <v>14454.44</v>
      </c>
      <c r="E8" s="378">
        <f>SUM(B8:D8)</f>
        <v>1278411.18</v>
      </c>
      <c r="F8" s="377"/>
      <c r="G8" s="377"/>
    </row>
    <row r="9" spans="1:7">
      <c r="A9" s="385" t="s">
        <v>45</v>
      </c>
      <c r="B9" s="378">
        <v>310732.20000000007</v>
      </c>
      <c r="C9" s="378">
        <v>333511.44</v>
      </c>
      <c r="D9" s="378">
        <v>7444.27</v>
      </c>
      <c r="E9" s="378">
        <f t="shared" ref="E9:E13" si="0">SUM(B9:D9)</f>
        <v>651687.91000000015</v>
      </c>
      <c r="F9" s="377"/>
      <c r="G9" s="377"/>
    </row>
    <row r="10" spans="1:7">
      <c r="A10" s="385" t="s">
        <v>46</v>
      </c>
      <c r="B10" s="378">
        <v>102166.42000000001</v>
      </c>
      <c r="C10" s="378">
        <v>109694.25000000001</v>
      </c>
      <c r="D10" s="378">
        <v>2433.19</v>
      </c>
      <c r="E10" s="378">
        <f t="shared" si="0"/>
        <v>214293.86000000004</v>
      </c>
      <c r="F10" s="377"/>
      <c r="G10" s="377"/>
    </row>
    <row r="11" spans="1:7">
      <c r="A11" s="385" t="s">
        <v>47</v>
      </c>
      <c r="B11" s="378">
        <v>395165.20999999996</v>
      </c>
      <c r="C11" s="378">
        <v>423610.98</v>
      </c>
      <c r="D11" s="378">
        <v>9330.8100000000013</v>
      </c>
      <c r="E11" s="378">
        <f t="shared" si="0"/>
        <v>828107</v>
      </c>
      <c r="F11" s="377"/>
      <c r="G11" s="377"/>
    </row>
    <row r="12" spans="1:7">
      <c r="A12" s="385" t="s">
        <v>48</v>
      </c>
      <c r="B12" s="380">
        <v>366744.98</v>
      </c>
      <c r="C12" s="380">
        <v>393453.01</v>
      </c>
      <c r="D12" s="380">
        <v>8698.4</v>
      </c>
      <c r="E12" s="380">
        <f t="shared" si="0"/>
        <v>768896.39</v>
      </c>
      <c r="F12" s="377"/>
      <c r="G12" s="377"/>
    </row>
    <row r="13" spans="1:7" ht="13.8" thickBot="1">
      <c r="A13" s="387" t="s">
        <v>177</v>
      </c>
      <c r="B13" s="381">
        <f t="shared" ref="B13:C13" si="1">SUM(B7:B12)</f>
        <v>2247725.79</v>
      </c>
      <c r="C13" s="381">
        <f t="shared" si="1"/>
        <v>2412304.33</v>
      </c>
      <c r="D13" s="381">
        <f>SUM(D7:D12)</f>
        <v>53594.52</v>
      </c>
      <c r="E13" s="381">
        <f t="shared" si="0"/>
        <v>4713624.6399999997</v>
      </c>
      <c r="F13" s="377"/>
      <c r="G13" s="377"/>
    </row>
    <row r="14" spans="1:7" ht="13.8" thickTop="1"/>
    <row r="31" spans="2:2">
      <c r="B31" s="375" t="s">
        <v>646</v>
      </c>
    </row>
  </sheetData>
  <mergeCells count="2">
    <mergeCell ref="A2:E2"/>
    <mergeCell ref="A3:E3"/>
  </mergeCells>
  <phoneticPr fontId="42" type="noConversion"/>
  <printOptions horizontalCentered="1"/>
  <pageMargins left="0.7" right="0.7" top="0.75" bottom="0.75" header="0.3" footer="0.3"/>
  <pageSetup orientation="portrait" r:id="rId1"/>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31"/>
  <sheetViews>
    <sheetView zoomScaleNormal="100" workbookViewId="0"/>
  </sheetViews>
  <sheetFormatPr defaultRowHeight="13.2"/>
  <cols>
    <col min="1" max="1" width="7.33203125" style="330" bestFit="1" customWidth="1"/>
    <col min="2" max="2" width="5" style="330" bestFit="1" customWidth="1"/>
    <col min="3" max="4" width="3.33203125" style="330" bestFit="1" customWidth="1"/>
    <col min="5" max="5" width="5" style="330" bestFit="1" customWidth="1"/>
    <col min="6" max="7" width="11.88671875" style="330" bestFit="1" customWidth="1"/>
    <col min="8" max="8" width="11.109375" style="330" bestFit="1" customWidth="1"/>
    <col min="9" max="9" width="9.88671875" style="330" bestFit="1" customWidth="1"/>
    <col min="10" max="11" width="11.109375" style="330" bestFit="1" customWidth="1"/>
    <col min="12" max="12" width="9.6640625" style="330" bestFit="1" customWidth="1"/>
    <col min="13" max="16" width="9.33203125" style="330" bestFit="1" customWidth="1"/>
    <col min="17" max="17" width="9.88671875" style="330" bestFit="1" customWidth="1"/>
    <col min="18" max="18" width="13.6640625" style="330" bestFit="1" customWidth="1"/>
    <col min="19" max="20" width="10.6640625" style="330" customWidth="1"/>
    <col min="21" max="21" width="11.44140625" style="330" bestFit="1" customWidth="1"/>
    <col min="22" max="23" width="11.6640625" style="329" bestFit="1" customWidth="1"/>
    <col min="24" max="24" width="9.109375" style="329"/>
    <col min="25" max="25" width="10.33203125" style="329" bestFit="1" customWidth="1"/>
    <col min="26" max="26" width="9.109375" style="329"/>
    <col min="27" max="258" width="9.109375" style="330"/>
    <col min="259" max="259" width="9.5546875" style="330" bestFit="1" customWidth="1"/>
    <col min="260" max="261" width="3.5546875" style="330" bestFit="1" customWidth="1"/>
    <col min="262" max="262" width="5.5546875" style="330" bestFit="1" customWidth="1"/>
    <col min="263" max="264" width="10.6640625" style="330" bestFit="1" customWidth="1"/>
    <col min="265" max="265" width="9.6640625" style="330" bestFit="1" customWidth="1"/>
    <col min="266" max="266" width="9.6640625" style="330" customWidth="1"/>
    <col min="267" max="268" width="9.6640625" style="330" bestFit="1" customWidth="1"/>
    <col min="269" max="269" width="8.109375" style="330" bestFit="1" customWidth="1"/>
    <col min="270" max="274" width="9.33203125" style="330" bestFit="1" customWidth="1"/>
    <col min="275" max="275" width="10.6640625" style="330" bestFit="1" customWidth="1"/>
    <col min="276" max="277" width="10.6640625" style="330" customWidth="1"/>
    <col min="278" max="279" width="11.6640625" style="330" bestFit="1" customWidth="1"/>
    <col min="280" max="280" width="9.109375" style="330"/>
    <col min="281" max="281" width="10.33203125" style="330" bestFit="1" customWidth="1"/>
    <col min="282" max="514" width="9.109375" style="330"/>
    <col min="515" max="515" width="9.5546875" style="330" bestFit="1" customWidth="1"/>
    <col min="516" max="517" width="3.5546875" style="330" bestFit="1" customWidth="1"/>
    <col min="518" max="518" width="5.5546875" style="330" bestFit="1" customWidth="1"/>
    <col min="519" max="520" width="10.6640625" style="330" bestFit="1" customWidth="1"/>
    <col min="521" max="521" width="9.6640625" style="330" bestFit="1" customWidth="1"/>
    <col min="522" max="522" width="9.6640625" style="330" customWidth="1"/>
    <col min="523" max="524" width="9.6640625" style="330" bestFit="1" customWidth="1"/>
    <col min="525" max="525" width="8.109375" style="330" bestFit="1" customWidth="1"/>
    <col min="526" max="530" width="9.33203125" style="330" bestFit="1" customWidth="1"/>
    <col min="531" max="531" width="10.6640625" style="330" bestFit="1" customWidth="1"/>
    <col min="532" max="533" width="10.6640625" style="330" customWidth="1"/>
    <col min="534" max="535" width="11.6640625" style="330" bestFit="1" customWidth="1"/>
    <col min="536" max="536" width="9.109375" style="330"/>
    <col min="537" max="537" width="10.33203125" style="330" bestFit="1" customWidth="1"/>
    <col min="538" max="770" width="9.109375" style="330"/>
    <col min="771" max="771" width="9.5546875" style="330" bestFit="1" customWidth="1"/>
    <col min="772" max="773" width="3.5546875" style="330" bestFit="1" customWidth="1"/>
    <col min="774" max="774" width="5.5546875" style="330" bestFit="1" customWidth="1"/>
    <col min="775" max="776" width="10.6640625" style="330" bestFit="1" customWidth="1"/>
    <col min="777" max="777" width="9.6640625" style="330" bestFit="1" customWidth="1"/>
    <col min="778" max="778" width="9.6640625" style="330" customWidth="1"/>
    <col min="779" max="780" width="9.6640625" style="330" bestFit="1" customWidth="1"/>
    <col min="781" max="781" width="8.109375" style="330" bestFit="1" customWidth="1"/>
    <col min="782" max="786" width="9.33203125" style="330" bestFit="1" customWidth="1"/>
    <col min="787" max="787" width="10.6640625" style="330" bestFit="1" customWidth="1"/>
    <col min="788" max="789" width="10.6640625" style="330" customWidth="1"/>
    <col min="790" max="791" width="11.6640625" style="330" bestFit="1" customWidth="1"/>
    <col min="792" max="792" width="9.109375" style="330"/>
    <col min="793" max="793" width="10.33203125" style="330" bestFit="1" customWidth="1"/>
    <col min="794" max="1026" width="9.109375" style="330"/>
    <col min="1027" max="1027" width="9.5546875" style="330" bestFit="1" customWidth="1"/>
    <col min="1028" max="1029" width="3.5546875" style="330" bestFit="1" customWidth="1"/>
    <col min="1030" max="1030" width="5.5546875" style="330" bestFit="1" customWidth="1"/>
    <col min="1031" max="1032" width="10.6640625" style="330" bestFit="1" customWidth="1"/>
    <col min="1033" max="1033" width="9.6640625" style="330" bestFit="1" customWidth="1"/>
    <col min="1034" max="1034" width="9.6640625" style="330" customWidth="1"/>
    <col min="1035" max="1036" width="9.6640625" style="330" bestFit="1" customWidth="1"/>
    <col min="1037" max="1037" width="8.109375" style="330" bestFit="1" customWidth="1"/>
    <col min="1038" max="1042" width="9.33203125" style="330" bestFit="1" customWidth="1"/>
    <col min="1043" max="1043" width="10.6640625" style="330" bestFit="1" customWidth="1"/>
    <col min="1044" max="1045" width="10.6640625" style="330" customWidth="1"/>
    <col min="1046" max="1047" width="11.6640625" style="330" bestFit="1" customWidth="1"/>
    <col min="1048" max="1048" width="9.109375" style="330"/>
    <col min="1049" max="1049" width="10.33203125" style="330" bestFit="1" customWidth="1"/>
    <col min="1050" max="1282" width="9.109375" style="330"/>
    <col min="1283" max="1283" width="9.5546875" style="330" bestFit="1" customWidth="1"/>
    <col min="1284" max="1285" width="3.5546875" style="330" bestFit="1" customWidth="1"/>
    <col min="1286" max="1286" width="5.5546875" style="330" bestFit="1" customWidth="1"/>
    <col min="1287" max="1288" width="10.6640625" style="330" bestFit="1" customWidth="1"/>
    <col min="1289" max="1289" width="9.6640625" style="330" bestFit="1" customWidth="1"/>
    <col min="1290" max="1290" width="9.6640625" style="330" customWidth="1"/>
    <col min="1291" max="1292" width="9.6640625" style="330" bestFit="1" customWidth="1"/>
    <col min="1293" max="1293" width="8.109375" style="330" bestFit="1" customWidth="1"/>
    <col min="1294" max="1298" width="9.33203125" style="330" bestFit="1" customWidth="1"/>
    <col min="1299" max="1299" width="10.6640625" style="330" bestFit="1" customWidth="1"/>
    <col min="1300" max="1301" width="10.6640625" style="330" customWidth="1"/>
    <col min="1302" max="1303" width="11.6640625" style="330" bestFit="1" customWidth="1"/>
    <col min="1304" max="1304" width="9.109375" style="330"/>
    <col min="1305" max="1305" width="10.33203125" style="330" bestFit="1" customWidth="1"/>
    <col min="1306" max="1538" width="9.109375" style="330"/>
    <col min="1539" max="1539" width="9.5546875" style="330" bestFit="1" customWidth="1"/>
    <col min="1540" max="1541" width="3.5546875" style="330" bestFit="1" customWidth="1"/>
    <col min="1542" max="1542" width="5.5546875" style="330" bestFit="1" customWidth="1"/>
    <col min="1543" max="1544" width="10.6640625" style="330" bestFit="1" customWidth="1"/>
    <col min="1545" max="1545" width="9.6640625" style="330" bestFit="1" customWidth="1"/>
    <col min="1546" max="1546" width="9.6640625" style="330" customWidth="1"/>
    <col min="1547" max="1548" width="9.6640625" style="330" bestFit="1" customWidth="1"/>
    <col min="1549" max="1549" width="8.109375" style="330" bestFit="1" customWidth="1"/>
    <col min="1550" max="1554" width="9.33203125" style="330" bestFit="1" customWidth="1"/>
    <col min="1555" max="1555" width="10.6640625" style="330" bestFit="1" customWidth="1"/>
    <col min="1556" max="1557" width="10.6640625" style="330" customWidth="1"/>
    <col min="1558" max="1559" width="11.6640625" style="330" bestFit="1" customWidth="1"/>
    <col min="1560" max="1560" width="9.109375" style="330"/>
    <col min="1561" max="1561" width="10.33203125" style="330" bestFit="1" customWidth="1"/>
    <col min="1562" max="1794" width="9.109375" style="330"/>
    <col min="1795" max="1795" width="9.5546875" style="330" bestFit="1" customWidth="1"/>
    <col min="1796" max="1797" width="3.5546875" style="330" bestFit="1" customWidth="1"/>
    <col min="1798" max="1798" width="5.5546875" style="330" bestFit="1" customWidth="1"/>
    <col min="1799" max="1800" width="10.6640625" style="330" bestFit="1" customWidth="1"/>
    <col min="1801" max="1801" width="9.6640625" style="330" bestFit="1" customWidth="1"/>
    <col min="1802" max="1802" width="9.6640625" style="330" customWidth="1"/>
    <col min="1803" max="1804" width="9.6640625" style="330" bestFit="1" customWidth="1"/>
    <col min="1805" max="1805" width="8.109375" style="330" bestFit="1" customWidth="1"/>
    <col min="1806" max="1810" width="9.33203125" style="330" bestFit="1" customWidth="1"/>
    <col min="1811" max="1811" width="10.6640625" style="330" bestFit="1" customWidth="1"/>
    <col min="1812" max="1813" width="10.6640625" style="330" customWidth="1"/>
    <col min="1814" max="1815" width="11.6640625" style="330" bestFit="1" customWidth="1"/>
    <col min="1816" max="1816" width="9.109375" style="330"/>
    <col min="1817" max="1817" width="10.33203125" style="330" bestFit="1" customWidth="1"/>
    <col min="1818" max="2050" width="9.109375" style="330"/>
    <col min="2051" max="2051" width="9.5546875" style="330" bestFit="1" customWidth="1"/>
    <col min="2052" max="2053" width="3.5546875" style="330" bestFit="1" customWidth="1"/>
    <col min="2054" max="2054" width="5.5546875" style="330" bestFit="1" customWidth="1"/>
    <col min="2055" max="2056" width="10.6640625" style="330" bestFit="1" customWidth="1"/>
    <col min="2057" max="2057" width="9.6640625" style="330" bestFit="1" customWidth="1"/>
    <col min="2058" max="2058" width="9.6640625" style="330" customWidth="1"/>
    <col min="2059" max="2060" width="9.6640625" style="330" bestFit="1" customWidth="1"/>
    <col min="2061" max="2061" width="8.109375" style="330" bestFit="1" customWidth="1"/>
    <col min="2062" max="2066" width="9.33203125" style="330" bestFit="1" customWidth="1"/>
    <col min="2067" max="2067" width="10.6640625" style="330" bestFit="1" customWidth="1"/>
    <col min="2068" max="2069" width="10.6640625" style="330" customWidth="1"/>
    <col min="2070" max="2071" width="11.6640625" style="330" bestFit="1" customWidth="1"/>
    <col min="2072" max="2072" width="9.109375" style="330"/>
    <col min="2073" max="2073" width="10.33203125" style="330" bestFit="1" customWidth="1"/>
    <col min="2074" max="2306" width="9.109375" style="330"/>
    <col min="2307" max="2307" width="9.5546875" style="330" bestFit="1" customWidth="1"/>
    <col min="2308" max="2309" width="3.5546875" style="330" bestFit="1" customWidth="1"/>
    <col min="2310" max="2310" width="5.5546875" style="330" bestFit="1" customWidth="1"/>
    <col min="2311" max="2312" width="10.6640625" style="330" bestFit="1" customWidth="1"/>
    <col min="2313" max="2313" width="9.6640625" style="330" bestFit="1" customWidth="1"/>
    <col min="2314" max="2314" width="9.6640625" style="330" customWidth="1"/>
    <col min="2315" max="2316" width="9.6640625" style="330" bestFit="1" customWidth="1"/>
    <col min="2317" max="2317" width="8.109375" style="330" bestFit="1" customWidth="1"/>
    <col min="2318" max="2322" width="9.33203125" style="330" bestFit="1" customWidth="1"/>
    <col min="2323" max="2323" width="10.6640625" style="330" bestFit="1" customWidth="1"/>
    <col min="2324" max="2325" width="10.6640625" style="330" customWidth="1"/>
    <col min="2326" max="2327" width="11.6640625" style="330" bestFit="1" customWidth="1"/>
    <col min="2328" max="2328" width="9.109375" style="330"/>
    <col min="2329" max="2329" width="10.33203125" style="330" bestFit="1" customWidth="1"/>
    <col min="2330" max="2562" width="9.109375" style="330"/>
    <col min="2563" max="2563" width="9.5546875" style="330" bestFit="1" customWidth="1"/>
    <col min="2564" max="2565" width="3.5546875" style="330" bestFit="1" customWidth="1"/>
    <col min="2566" max="2566" width="5.5546875" style="330" bestFit="1" customWidth="1"/>
    <col min="2567" max="2568" width="10.6640625" style="330" bestFit="1" customWidth="1"/>
    <col min="2569" max="2569" width="9.6640625" style="330" bestFit="1" customWidth="1"/>
    <col min="2570" max="2570" width="9.6640625" style="330" customWidth="1"/>
    <col min="2571" max="2572" width="9.6640625" style="330" bestFit="1" customWidth="1"/>
    <col min="2573" max="2573" width="8.109375" style="330" bestFit="1" customWidth="1"/>
    <col min="2574" max="2578" width="9.33203125" style="330" bestFit="1" customWidth="1"/>
    <col min="2579" max="2579" width="10.6640625" style="330" bestFit="1" customWidth="1"/>
    <col min="2580" max="2581" width="10.6640625" style="330" customWidth="1"/>
    <col min="2582" max="2583" width="11.6640625" style="330" bestFit="1" customWidth="1"/>
    <col min="2584" max="2584" width="9.109375" style="330"/>
    <col min="2585" max="2585" width="10.33203125" style="330" bestFit="1" customWidth="1"/>
    <col min="2586" max="2818" width="9.109375" style="330"/>
    <col min="2819" max="2819" width="9.5546875" style="330" bestFit="1" customWidth="1"/>
    <col min="2820" max="2821" width="3.5546875" style="330" bestFit="1" customWidth="1"/>
    <col min="2822" max="2822" width="5.5546875" style="330" bestFit="1" customWidth="1"/>
    <col min="2823" max="2824" width="10.6640625" style="330" bestFit="1" customWidth="1"/>
    <col min="2825" max="2825" width="9.6640625" style="330" bestFit="1" customWidth="1"/>
    <col min="2826" max="2826" width="9.6640625" style="330" customWidth="1"/>
    <col min="2827" max="2828" width="9.6640625" style="330" bestFit="1" customWidth="1"/>
    <col min="2829" max="2829" width="8.109375" style="330" bestFit="1" customWidth="1"/>
    <col min="2830" max="2834" width="9.33203125" style="330" bestFit="1" customWidth="1"/>
    <col min="2835" max="2835" width="10.6640625" style="330" bestFit="1" customWidth="1"/>
    <col min="2836" max="2837" width="10.6640625" style="330" customWidth="1"/>
    <col min="2838" max="2839" width="11.6640625" style="330" bestFit="1" customWidth="1"/>
    <col min="2840" max="2840" width="9.109375" style="330"/>
    <col min="2841" max="2841" width="10.33203125" style="330" bestFit="1" customWidth="1"/>
    <col min="2842" max="3074" width="9.109375" style="330"/>
    <col min="3075" max="3075" width="9.5546875" style="330" bestFit="1" customWidth="1"/>
    <col min="3076" max="3077" width="3.5546875" style="330" bestFit="1" customWidth="1"/>
    <col min="3078" max="3078" width="5.5546875" style="330" bestFit="1" customWidth="1"/>
    <col min="3079" max="3080" width="10.6640625" style="330" bestFit="1" customWidth="1"/>
    <col min="3081" max="3081" width="9.6640625" style="330" bestFit="1" customWidth="1"/>
    <col min="3082" max="3082" width="9.6640625" style="330" customWidth="1"/>
    <col min="3083" max="3084" width="9.6640625" style="330" bestFit="1" customWidth="1"/>
    <col min="3085" max="3085" width="8.109375" style="330" bestFit="1" customWidth="1"/>
    <col min="3086" max="3090" width="9.33203125" style="330" bestFit="1" customWidth="1"/>
    <col min="3091" max="3091" width="10.6640625" style="330" bestFit="1" customWidth="1"/>
    <col min="3092" max="3093" width="10.6640625" style="330" customWidth="1"/>
    <col min="3094" max="3095" width="11.6640625" style="330" bestFit="1" customWidth="1"/>
    <col min="3096" max="3096" width="9.109375" style="330"/>
    <col min="3097" max="3097" width="10.33203125" style="330" bestFit="1" customWidth="1"/>
    <col min="3098" max="3330" width="9.109375" style="330"/>
    <col min="3331" max="3331" width="9.5546875" style="330" bestFit="1" customWidth="1"/>
    <col min="3332" max="3333" width="3.5546875" style="330" bestFit="1" customWidth="1"/>
    <col min="3334" max="3334" width="5.5546875" style="330" bestFit="1" customWidth="1"/>
    <col min="3335" max="3336" width="10.6640625" style="330" bestFit="1" customWidth="1"/>
    <col min="3337" max="3337" width="9.6640625" style="330" bestFit="1" customWidth="1"/>
    <col min="3338" max="3338" width="9.6640625" style="330" customWidth="1"/>
    <col min="3339" max="3340" width="9.6640625" style="330" bestFit="1" customWidth="1"/>
    <col min="3341" max="3341" width="8.109375" style="330" bestFit="1" customWidth="1"/>
    <col min="3342" max="3346" width="9.33203125" style="330" bestFit="1" customWidth="1"/>
    <col min="3347" max="3347" width="10.6640625" style="330" bestFit="1" customWidth="1"/>
    <col min="3348" max="3349" width="10.6640625" style="330" customWidth="1"/>
    <col min="3350" max="3351" width="11.6640625" style="330" bestFit="1" customWidth="1"/>
    <col min="3352" max="3352" width="9.109375" style="330"/>
    <col min="3353" max="3353" width="10.33203125" style="330" bestFit="1" customWidth="1"/>
    <col min="3354" max="3586" width="9.109375" style="330"/>
    <col min="3587" max="3587" width="9.5546875" style="330" bestFit="1" customWidth="1"/>
    <col min="3588" max="3589" width="3.5546875" style="330" bestFit="1" customWidth="1"/>
    <col min="3590" max="3590" width="5.5546875" style="330" bestFit="1" customWidth="1"/>
    <col min="3591" max="3592" width="10.6640625" style="330" bestFit="1" customWidth="1"/>
    <col min="3593" max="3593" width="9.6640625" style="330" bestFit="1" customWidth="1"/>
    <col min="3594" max="3594" width="9.6640625" style="330" customWidth="1"/>
    <col min="3595" max="3596" width="9.6640625" style="330" bestFit="1" customWidth="1"/>
    <col min="3597" max="3597" width="8.109375" style="330" bestFit="1" customWidth="1"/>
    <col min="3598" max="3602" width="9.33203125" style="330" bestFit="1" customWidth="1"/>
    <col min="3603" max="3603" width="10.6640625" style="330" bestFit="1" customWidth="1"/>
    <col min="3604" max="3605" width="10.6640625" style="330" customWidth="1"/>
    <col min="3606" max="3607" width="11.6640625" style="330" bestFit="1" customWidth="1"/>
    <col min="3608" max="3608" width="9.109375" style="330"/>
    <col min="3609" max="3609" width="10.33203125" style="330" bestFit="1" customWidth="1"/>
    <col min="3610" max="3842" width="9.109375" style="330"/>
    <col min="3843" max="3843" width="9.5546875" style="330" bestFit="1" customWidth="1"/>
    <col min="3844" max="3845" width="3.5546875" style="330" bestFit="1" customWidth="1"/>
    <col min="3846" max="3846" width="5.5546875" style="330" bestFit="1" customWidth="1"/>
    <col min="3847" max="3848" width="10.6640625" style="330" bestFit="1" customWidth="1"/>
    <col min="3849" max="3849" width="9.6640625" style="330" bestFit="1" customWidth="1"/>
    <col min="3850" max="3850" width="9.6640625" style="330" customWidth="1"/>
    <col min="3851" max="3852" width="9.6640625" style="330" bestFit="1" customWidth="1"/>
    <col min="3853" max="3853" width="8.109375" style="330" bestFit="1" customWidth="1"/>
    <col min="3854" max="3858" width="9.33203125" style="330" bestFit="1" customWidth="1"/>
    <col min="3859" max="3859" width="10.6640625" style="330" bestFit="1" customWidth="1"/>
    <col min="3860" max="3861" width="10.6640625" style="330" customWidth="1"/>
    <col min="3862" max="3863" width="11.6640625" style="330" bestFit="1" customWidth="1"/>
    <col min="3864" max="3864" width="9.109375" style="330"/>
    <col min="3865" max="3865" width="10.33203125" style="330" bestFit="1" customWidth="1"/>
    <col min="3866" max="4098" width="9.109375" style="330"/>
    <col min="4099" max="4099" width="9.5546875" style="330" bestFit="1" customWidth="1"/>
    <col min="4100" max="4101" width="3.5546875" style="330" bestFit="1" customWidth="1"/>
    <col min="4102" max="4102" width="5.5546875" style="330" bestFit="1" customWidth="1"/>
    <col min="4103" max="4104" width="10.6640625" style="330" bestFit="1" customWidth="1"/>
    <col min="4105" max="4105" width="9.6640625" style="330" bestFit="1" customWidth="1"/>
    <col min="4106" max="4106" width="9.6640625" style="330" customWidth="1"/>
    <col min="4107" max="4108" width="9.6640625" style="330" bestFit="1" customWidth="1"/>
    <col min="4109" max="4109" width="8.109375" style="330" bestFit="1" customWidth="1"/>
    <col min="4110" max="4114" width="9.33203125" style="330" bestFit="1" customWidth="1"/>
    <col min="4115" max="4115" width="10.6640625" style="330" bestFit="1" customWidth="1"/>
    <col min="4116" max="4117" width="10.6640625" style="330" customWidth="1"/>
    <col min="4118" max="4119" width="11.6640625" style="330" bestFit="1" customWidth="1"/>
    <col min="4120" max="4120" width="9.109375" style="330"/>
    <col min="4121" max="4121" width="10.33203125" style="330" bestFit="1" customWidth="1"/>
    <col min="4122" max="4354" width="9.109375" style="330"/>
    <col min="4355" max="4355" width="9.5546875" style="330" bestFit="1" customWidth="1"/>
    <col min="4356" max="4357" width="3.5546875" style="330" bestFit="1" customWidth="1"/>
    <col min="4358" max="4358" width="5.5546875" style="330" bestFit="1" customWidth="1"/>
    <col min="4359" max="4360" width="10.6640625" style="330" bestFit="1" customWidth="1"/>
    <col min="4361" max="4361" width="9.6640625" style="330" bestFit="1" customWidth="1"/>
    <col min="4362" max="4362" width="9.6640625" style="330" customWidth="1"/>
    <col min="4363" max="4364" width="9.6640625" style="330" bestFit="1" customWidth="1"/>
    <col min="4365" max="4365" width="8.109375" style="330" bestFit="1" customWidth="1"/>
    <col min="4366" max="4370" width="9.33203125" style="330" bestFit="1" customWidth="1"/>
    <col min="4371" max="4371" width="10.6640625" style="330" bestFit="1" customWidth="1"/>
    <col min="4372" max="4373" width="10.6640625" style="330" customWidth="1"/>
    <col min="4374" max="4375" width="11.6640625" style="330" bestFit="1" customWidth="1"/>
    <col min="4376" max="4376" width="9.109375" style="330"/>
    <col min="4377" max="4377" width="10.33203125" style="330" bestFit="1" customWidth="1"/>
    <col min="4378" max="4610" width="9.109375" style="330"/>
    <col min="4611" max="4611" width="9.5546875" style="330" bestFit="1" customWidth="1"/>
    <col min="4612" max="4613" width="3.5546875" style="330" bestFit="1" customWidth="1"/>
    <col min="4614" max="4614" width="5.5546875" style="330" bestFit="1" customWidth="1"/>
    <col min="4615" max="4616" width="10.6640625" style="330" bestFit="1" customWidth="1"/>
    <col min="4617" max="4617" width="9.6640625" style="330" bestFit="1" customWidth="1"/>
    <col min="4618" max="4618" width="9.6640625" style="330" customWidth="1"/>
    <col min="4619" max="4620" width="9.6640625" style="330" bestFit="1" customWidth="1"/>
    <col min="4621" max="4621" width="8.109375" style="330" bestFit="1" customWidth="1"/>
    <col min="4622" max="4626" width="9.33203125" style="330" bestFit="1" customWidth="1"/>
    <col min="4627" max="4627" width="10.6640625" style="330" bestFit="1" customWidth="1"/>
    <col min="4628" max="4629" width="10.6640625" style="330" customWidth="1"/>
    <col min="4630" max="4631" width="11.6640625" style="330" bestFit="1" customWidth="1"/>
    <col min="4632" max="4632" width="9.109375" style="330"/>
    <col min="4633" max="4633" width="10.33203125" style="330" bestFit="1" customWidth="1"/>
    <col min="4634" max="4866" width="9.109375" style="330"/>
    <col min="4867" max="4867" width="9.5546875" style="330" bestFit="1" customWidth="1"/>
    <col min="4868" max="4869" width="3.5546875" style="330" bestFit="1" customWidth="1"/>
    <col min="4870" max="4870" width="5.5546875" style="330" bestFit="1" customWidth="1"/>
    <col min="4871" max="4872" width="10.6640625" style="330" bestFit="1" customWidth="1"/>
    <col min="4873" max="4873" width="9.6640625" style="330" bestFit="1" customWidth="1"/>
    <col min="4874" max="4874" width="9.6640625" style="330" customWidth="1"/>
    <col min="4875" max="4876" width="9.6640625" style="330" bestFit="1" customWidth="1"/>
    <col min="4877" max="4877" width="8.109375" style="330" bestFit="1" customWidth="1"/>
    <col min="4878" max="4882" width="9.33203125" style="330" bestFit="1" customWidth="1"/>
    <col min="4883" max="4883" width="10.6640625" style="330" bestFit="1" customWidth="1"/>
    <col min="4884" max="4885" width="10.6640625" style="330" customWidth="1"/>
    <col min="4886" max="4887" width="11.6640625" style="330" bestFit="1" customWidth="1"/>
    <col min="4888" max="4888" width="9.109375" style="330"/>
    <col min="4889" max="4889" width="10.33203125" style="330" bestFit="1" customWidth="1"/>
    <col min="4890" max="5122" width="9.109375" style="330"/>
    <col min="5123" max="5123" width="9.5546875" style="330" bestFit="1" customWidth="1"/>
    <col min="5124" max="5125" width="3.5546875" style="330" bestFit="1" customWidth="1"/>
    <col min="5126" max="5126" width="5.5546875" style="330" bestFit="1" customWidth="1"/>
    <col min="5127" max="5128" width="10.6640625" style="330" bestFit="1" customWidth="1"/>
    <col min="5129" max="5129" width="9.6640625" style="330" bestFit="1" customWidth="1"/>
    <col min="5130" max="5130" width="9.6640625" style="330" customWidth="1"/>
    <col min="5131" max="5132" width="9.6640625" style="330" bestFit="1" customWidth="1"/>
    <col min="5133" max="5133" width="8.109375" style="330" bestFit="1" customWidth="1"/>
    <col min="5134" max="5138" width="9.33203125" style="330" bestFit="1" customWidth="1"/>
    <col min="5139" max="5139" width="10.6640625" style="330" bestFit="1" customWidth="1"/>
    <col min="5140" max="5141" width="10.6640625" style="330" customWidth="1"/>
    <col min="5142" max="5143" width="11.6640625" style="330" bestFit="1" customWidth="1"/>
    <col min="5144" max="5144" width="9.109375" style="330"/>
    <col min="5145" max="5145" width="10.33203125" style="330" bestFit="1" customWidth="1"/>
    <col min="5146" max="5378" width="9.109375" style="330"/>
    <col min="5379" max="5379" width="9.5546875" style="330" bestFit="1" customWidth="1"/>
    <col min="5380" max="5381" width="3.5546875" style="330" bestFit="1" customWidth="1"/>
    <col min="5382" max="5382" width="5.5546875" style="330" bestFit="1" customWidth="1"/>
    <col min="5383" max="5384" width="10.6640625" style="330" bestFit="1" customWidth="1"/>
    <col min="5385" max="5385" width="9.6640625" style="330" bestFit="1" customWidth="1"/>
    <col min="5386" max="5386" width="9.6640625" style="330" customWidth="1"/>
    <col min="5387" max="5388" width="9.6640625" style="330" bestFit="1" customWidth="1"/>
    <col min="5389" max="5389" width="8.109375" style="330" bestFit="1" customWidth="1"/>
    <col min="5390" max="5394" width="9.33203125" style="330" bestFit="1" customWidth="1"/>
    <col min="5395" max="5395" width="10.6640625" style="330" bestFit="1" customWidth="1"/>
    <col min="5396" max="5397" width="10.6640625" style="330" customWidth="1"/>
    <col min="5398" max="5399" width="11.6640625" style="330" bestFit="1" customWidth="1"/>
    <col min="5400" max="5400" width="9.109375" style="330"/>
    <col min="5401" max="5401" width="10.33203125" style="330" bestFit="1" customWidth="1"/>
    <col min="5402" max="5634" width="9.109375" style="330"/>
    <col min="5635" max="5635" width="9.5546875" style="330" bestFit="1" customWidth="1"/>
    <col min="5636" max="5637" width="3.5546875" style="330" bestFit="1" customWidth="1"/>
    <col min="5638" max="5638" width="5.5546875" style="330" bestFit="1" customWidth="1"/>
    <col min="5639" max="5640" width="10.6640625" style="330" bestFit="1" customWidth="1"/>
    <col min="5641" max="5641" width="9.6640625" style="330" bestFit="1" customWidth="1"/>
    <col min="5642" max="5642" width="9.6640625" style="330" customWidth="1"/>
    <col min="5643" max="5644" width="9.6640625" style="330" bestFit="1" customWidth="1"/>
    <col min="5645" max="5645" width="8.109375" style="330" bestFit="1" customWidth="1"/>
    <col min="5646" max="5650" width="9.33203125" style="330" bestFit="1" customWidth="1"/>
    <col min="5651" max="5651" width="10.6640625" style="330" bestFit="1" customWidth="1"/>
    <col min="5652" max="5653" width="10.6640625" style="330" customWidth="1"/>
    <col min="5654" max="5655" width="11.6640625" style="330" bestFit="1" customWidth="1"/>
    <col min="5656" max="5656" width="9.109375" style="330"/>
    <col min="5657" max="5657" width="10.33203125" style="330" bestFit="1" customWidth="1"/>
    <col min="5658" max="5890" width="9.109375" style="330"/>
    <col min="5891" max="5891" width="9.5546875" style="330" bestFit="1" customWidth="1"/>
    <col min="5892" max="5893" width="3.5546875" style="330" bestFit="1" customWidth="1"/>
    <col min="5894" max="5894" width="5.5546875" style="330" bestFit="1" customWidth="1"/>
    <col min="5895" max="5896" width="10.6640625" style="330" bestFit="1" customWidth="1"/>
    <col min="5897" max="5897" width="9.6640625" style="330" bestFit="1" customWidth="1"/>
    <col min="5898" max="5898" width="9.6640625" style="330" customWidth="1"/>
    <col min="5899" max="5900" width="9.6640625" style="330" bestFit="1" customWidth="1"/>
    <col min="5901" max="5901" width="8.109375" style="330" bestFit="1" customWidth="1"/>
    <col min="5902" max="5906" width="9.33203125" style="330" bestFit="1" customWidth="1"/>
    <col min="5907" max="5907" width="10.6640625" style="330" bestFit="1" customWidth="1"/>
    <col min="5908" max="5909" width="10.6640625" style="330" customWidth="1"/>
    <col min="5910" max="5911" width="11.6640625" style="330" bestFit="1" customWidth="1"/>
    <col min="5912" max="5912" width="9.109375" style="330"/>
    <col min="5913" max="5913" width="10.33203125" style="330" bestFit="1" customWidth="1"/>
    <col min="5914" max="6146" width="9.109375" style="330"/>
    <col min="6147" max="6147" width="9.5546875" style="330" bestFit="1" customWidth="1"/>
    <col min="6148" max="6149" width="3.5546875" style="330" bestFit="1" customWidth="1"/>
    <col min="6150" max="6150" width="5.5546875" style="330" bestFit="1" customWidth="1"/>
    <col min="6151" max="6152" width="10.6640625" style="330" bestFit="1" customWidth="1"/>
    <col min="6153" max="6153" width="9.6640625" style="330" bestFit="1" customWidth="1"/>
    <col min="6154" max="6154" width="9.6640625" style="330" customWidth="1"/>
    <col min="6155" max="6156" width="9.6640625" style="330" bestFit="1" customWidth="1"/>
    <col min="6157" max="6157" width="8.109375" style="330" bestFit="1" customWidth="1"/>
    <col min="6158" max="6162" width="9.33203125" style="330" bestFit="1" customWidth="1"/>
    <col min="6163" max="6163" width="10.6640625" style="330" bestFit="1" customWidth="1"/>
    <col min="6164" max="6165" width="10.6640625" style="330" customWidth="1"/>
    <col min="6166" max="6167" width="11.6640625" style="330" bestFit="1" customWidth="1"/>
    <col min="6168" max="6168" width="9.109375" style="330"/>
    <col min="6169" max="6169" width="10.33203125" style="330" bestFit="1" customWidth="1"/>
    <col min="6170" max="6402" width="9.109375" style="330"/>
    <col min="6403" max="6403" width="9.5546875" style="330" bestFit="1" customWidth="1"/>
    <col min="6404" max="6405" width="3.5546875" style="330" bestFit="1" customWidth="1"/>
    <col min="6406" max="6406" width="5.5546875" style="330" bestFit="1" customWidth="1"/>
    <col min="6407" max="6408" width="10.6640625" style="330" bestFit="1" customWidth="1"/>
    <col min="6409" max="6409" width="9.6640625" style="330" bestFit="1" customWidth="1"/>
    <col min="6410" max="6410" width="9.6640625" style="330" customWidth="1"/>
    <col min="6411" max="6412" width="9.6640625" style="330" bestFit="1" customWidth="1"/>
    <col min="6413" max="6413" width="8.109375" style="330" bestFit="1" customWidth="1"/>
    <col min="6414" max="6418" width="9.33203125" style="330" bestFit="1" customWidth="1"/>
    <col min="6419" max="6419" width="10.6640625" style="330" bestFit="1" customWidth="1"/>
    <col min="6420" max="6421" width="10.6640625" style="330" customWidth="1"/>
    <col min="6422" max="6423" width="11.6640625" style="330" bestFit="1" customWidth="1"/>
    <col min="6424" max="6424" width="9.109375" style="330"/>
    <col min="6425" max="6425" width="10.33203125" style="330" bestFit="1" customWidth="1"/>
    <col min="6426" max="6658" width="9.109375" style="330"/>
    <col min="6659" max="6659" width="9.5546875" style="330" bestFit="1" customWidth="1"/>
    <col min="6660" max="6661" width="3.5546875" style="330" bestFit="1" customWidth="1"/>
    <col min="6662" max="6662" width="5.5546875" style="330" bestFit="1" customWidth="1"/>
    <col min="6663" max="6664" width="10.6640625" style="330" bestFit="1" customWidth="1"/>
    <col min="6665" max="6665" width="9.6640625" style="330" bestFit="1" customWidth="1"/>
    <col min="6666" max="6666" width="9.6640625" style="330" customWidth="1"/>
    <col min="6667" max="6668" width="9.6640625" style="330" bestFit="1" customWidth="1"/>
    <col min="6669" max="6669" width="8.109375" style="330" bestFit="1" customWidth="1"/>
    <col min="6670" max="6674" width="9.33203125" style="330" bestFit="1" customWidth="1"/>
    <col min="6675" max="6675" width="10.6640625" style="330" bestFit="1" customWidth="1"/>
    <col min="6676" max="6677" width="10.6640625" style="330" customWidth="1"/>
    <col min="6678" max="6679" width="11.6640625" style="330" bestFit="1" customWidth="1"/>
    <col min="6680" max="6680" width="9.109375" style="330"/>
    <col min="6681" max="6681" width="10.33203125" style="330" bestFit="1" customWidth="1"/>
    <col min="6682" max="6914" width="9.109375" style="330"/>
    <col min="6915" max="6915" width="9.5546875" style="330" bestFit="1" customWidth="1"/>
    <col min="6916" max="6917" width="3.5546875" style="330" bestFit="1" customWidth="1"/>
    <col min="6918" max="6918" width="5.5546875" style="330" bestFit="1" customWidth="1"/>
    <col min="6919" max="6920" width="10.6640625" style="330" bestFit="1" customWidth="1"/>
    <col min="6921" max="6921" width="9.6640625" style="330" bestFit="1" customWidth="1"/>
    <col min="6922" max="6922" width="9.6640625" style="330" customWidth="1"/>
    <col min="6923" max="6924" width="9.6640625" style="330" bestFit="1" customWidth="1"/>
    <col min="6925" max="6925" width="8.109375" style="330" bestFit="1" customWidth="1"/>
    <col min="6926" max="6930" width="9.33203125" style="330" bestFit="1" customWidth="1"/>
    <col min="6931" max="6931" width="10.6640625" style="330" bestFit="1" customWidth="1"/>
    <col min="6932" max="6933" width="10.6640625" style="330" customWidth="1"/>
    <col min="6934" max="6935" width="11.6640625" style="330" bestFit="1" customWidth="1"/>
    <col min="6936" max="6936" width="9.109375" style="330"/>
    <col min="6937" max="6937" width="10.33203125" style="330" bestFit="1" customWidth="1"/>
    <col min="6938" max="7170" width="9.109375" style="330"/>
    <col min="7171" max="7171" width="9.5546875" style="330" bestFit="1" customWidth="1"/>
    <col min="7172" max="7173" width="3.5546875" style="330" bestFit="1" customWidth="1"/>
    <col min="7174" max="7174" width="5.5546875" style="330" bestFit="1" customWidth="1"/>
    <col min="7175" max="7176" width="10.6640625" style="330" bestFit="1" customWidth="1"/>
    <col min="7177" max="7177" width="9.6640625" style="330" bestFit="1" customWidth="1"/>
    <col min="7178" max="7178" width="9.6640625" style="330" customWidth="1"/>
    <col min="7179" max="7180" width="9.6640625" style="330" bestFit="1" customWidth="1"/>
    <col min="7181" max="7181" width="8.109375" style="330" bestFit="1" customWidth="1"/>
    <col min="7182" max="7186" width="9.33203125" style="330" bestFit="1" customWidth="1"/>
    <col min="7187" max="7187" width="10.6640625" style="330" bestFit="1" customWidth="1"/>
    <col min="7188" max="7189" width="10.6640625" style="330" customWidth="1"/>
    <col min="7190" max="7191" width="11.6640625" style="330" bestFit="1" customWidth="1"/>
    <col min="7192" max="7192" width="9.109375" style="330"/>
    <col min="7193" max="7193" width="10.33203125" style="330" bestFit="1" customWidth="1"/>
    <col min="7194" max="7426" width="9.109375" style="330"/>
    <col min="7427" max="7427" width="9.5546875" style="330" bestFit="1" customWidth="1"/>
    <col min="7428" max="7429" width="3.5546875" style="330" bestFit="1" customWidth="1"/>
    <col min="7430" max="7430" width="5.5546875" style="330" bestFit="1" customWidth="1"/>
    <col min="7431" max="7432" width="10.6640625" style="330" bestFit="1" customWidth="1"/>
    <col min="7433" max="7433" width="9.6640625" style="330" bestFit="1" customWidth="1"/>
    <col min="7434" max="7434" width="9.6640625" style="330" customWidth="1"/>
    <col min="7435" max="7436" width="9.6640625" style="330" bestFit="1" customWidth="1"/>
    <col min="7437" max="7437" width="8.109375" style="330" bestFit="1" customWidth="1"/>
    <col min="7438" max="7442" width="9.33203125" style="330" bestFit="1" customWidth="1"/>
    <col min="7443" max="7443" width="10.6640625" style="330" bestFit="1" customWidth="1"/>
    <col min="7444" max="7445" width="10.6640625" style="330" customWidth="1"/>
    <col min="7446" max="7447" width="11.6640625" style="330" bestFit="1" customWidth="1"/>
    <col min="7448" max="7448" width="9.109375" style="330"/>
    <col min="7449" max="7449" width="10.33203125" style="330" bestFit="1" customWidth="1"/>
    <col min="7450" max="7682" width="9.109375" style="330"/>
    <col min="7683" max="7683" width="9.5546875" style="330" bestFit="1" customWidth="1"/>
    <col min="7684" max="7685" width="3.5546875" style="330" bestFit="1" customWidth="1"/>
    <col min="7686" max="7686" width="5.5546875" style="330" bestFit="1" customWidth="1"/>
    <col min="7687" max="7688" width="10.6640625" style="330" bestFit="1" customWidth="1"/>
    <col min="7689" max="7689" width="9.6640625" style="330" bestFit="1" customWidth="1"/>
    <col min="7690" max="7690" width="9.6640625" style="330" customWidth="1"/>
    <col min="7691" max="7692" width="9.6640625" style="330" bestFit="1" customWidth="1"/>
    <col min="7693" max="7693" width="8.109375" style="330" bestFit="1" customWidth="1"/>
    <col min="7694" max="7698" width="9.33203125" style="330" bestFit="1" customWidth="1"/>
    <col min="7699" max="7699" width="10.6640625" style="330" bestFit="1" customWidth="1"/>
    <col min="7700" max="7701" width="10.6640625" style="330" customWidth="1"/>
    <col min="7702" max="7703" width="11.6640625" style="330" bestFit="1" customWidth="1"/>
    <col min="7704" max="7704" width="9.109375" style="330"/>
    <col min="7705" max="7705" width="10.33203125" style="330" bestFit="1" customWidth="1"/>
    <col min="7706" max="7938" width="9.109375" style="330"/>
    <col min="7939" max="7939" width="9.5546875" style="330" bestFit="1" customWidth="1"/>
    <col min="7940" max="7941" width="3.5546875" style="330" bestFit="1" customWidth="1"/>
    <col min="7942" max="7942" width="5.5546875" style="330" bestFit="1" customWidth="1"/>
    <col min="7943" max="7944" width="10.6640625" style="330" bestFit="1" customWidth="1"/>
    <col min="7945" max="7945" width="9.6640625" style="330" bestFit="1" customWidth="1"/>
    <col min="7946" max="7946" width="9.6640625" style="330" customWidth="1"/>
    <col min="7947" max="7948" width="9.6640625" style="330" bestFit="1" customWidth="1"/>
    <col min="7949" max="7949" width="8.109375" style="330" bestFit="1" customWidth="1"/>
    <col min="7950" max="7954" width="9.33203125" style="330" bestFit="1" customWidth="1"/>
    <col min="7955" max="7955" width="10.6640625" style="330" bestFit="1" customWidth="1"/>
    <col min="7956" max="7957" width="10.6640625" style="330" customWidth="1"/>
    <col min="7958" max="7959" width="11.6640625" style="330" bestFit="1" customWidth="1"/>
    <col min="7960" max="7960" width="9.109375" style="330"/>
    <col min="7961" max="7961" width="10.33203125" style="330" bestFit="1" customWidth="1"/>
    <col min="7962" max="8194" width="9.109375" style="330"/>
    <col min="8195" max="8195" width="9.5546875" style="330" bestFit="1" customWidth="1"/>
    <col min="8196" max="8197" width="3.5546875" style="330" bestFit="1" customWidth="1"/>
    <col min="8198" max="8198" width="5.5546875" style="330" bestFit="1" customWidth="1"/>
    <col min="8199" max="8200" width="10.6640625" style="330" bestFit="1" customWidth="1"/>
    <col min="8201" max="8201" width="9.6640625" style="330" bestFit="1" customWidth="1"/>
    <col min="8202" max="8202" width="9.6640625" style="330" customWidth="1"/>
    <col min="8203" max="8204" width="9.6640625" style="330" bestFit="1" customWidth="1"/>
    <col min="8205" max="8205" width="8.109375" style="330" bestFit="1" customWidth="1"/>
    <col min="8206" max="8210" width="9.33203125" style="330" bestFit="1" customWidth="1"/>
    <col min="8211" max="8211" width="10.6640625" style="330" bestFit="1" customWidth="1"/>
    <col min="8212" max="8213" width="10.6640625" style="330" customWidth="1"/>
    <col min="8214" max="8215" width="11.6640625" style="330" bestFit="1" customWidth="1"/>
    <col min="8216" max="8216" width="9.109375" style="330"/>
    <col min="8217" max="8217" width="10.33203125" style="330" bestFit="1" customWidth="1"/>
    <col min="8218" max="8450" width="9.109375" style="330"/>
    <col min="8451" max="8451" width="9.5546875" style="330" bestFit="1" customWidth="1"/>
    <col min="8452" max="8453" width="3.5546875" style="330" bestFit="1" customWidth="1"/>
    <col min="8454" max="8454" width="5.5546875" style="330" bestFit="1" customWidth="1"/>
    <col min="8455" max="8456" width="10.6640625" style="330" bestFit="1" customWidth="1"/>
    <col min="8457" max="8457" width="9.6640625" style="330" bestFit="1" customWidth="1"/>
    <col min="8458" max="8458" width="9.6640625" style="330" customWidth="1"/>
    <col min="8459" max="8460" width="9.6640625" style="330" bestFit="1" customWidth="1"/>
    <col min="8461" max="8461" width="8.109375" style="330" bestFit="1" customWidth="1"/>
    <col min="8462" max="8466" width="9.33203125" style="330" bestFit="1" customWidth="1"/>
    <col min="8467" max="8467" width="10.6640625" style="330" bestFit="1" customWidth="1"/>
    <col min="8468" max="8469" width="10.6640625" style="330" customWidth="1"/>
    <col min="8470" max="8471" width="11.6640625" style="330" bestFit="1" customWidth="1"/>
    <col min="8472" max="8472" width="9.109375" style="330"/>
    <col min="8473" max="8473" width="10.33203125" style="330" bestFit="1" customWidth="1"/>
    <col min="8474" max="8706" width="9.109375" style="330"/>
    <col min="8707" max="8707" width="9.5546875" style="330" bestFit="1" customWidth="1"/>
    <col min="8708" max="8709" width="3.5546875" style="330" bestFit="1" customWidth="1"/>
    <col min="8710" max="8710" width="5.5546875" style="330" bestFit="1" customWidth="1"/>
    <col min="8711" max="8712" width="10.6640625" style="330" bestFit="1" customWidth="1"/>
    <col min="8713" max="8713" width="9.6640625" style="330" bestFit="1" customWidth="1"/>
    <col min="8714" max="8714" width="9.6640625" style="330" customWidth="1"/>
    <col min="8715" max="8716" width="9.6640625" style="330" bestFit="1" customWidth="1"/>
    <col min="8717" max="8717" width="8.109375" style="330" bestFit="1" customWidth="1"/>
    <col min="8718" max="8722" width="9.33203125" style="330" bestFit="1" customWidth="1"/>
    <col min="8723" max="8723" width="10.6640625" style="330" bestFit="1" customWidth="1"/>
    <col min="8724" max="8725" width="10.6640625" style="330" customWidth="1"/>
    <col min="8726" max="8727" width="11.6640625" style="330" bestFit="1" customWidth="1"/>
    <col min="8728" max="8728" width="9.109375" style="330"/>
    <col min="8729" max="8729" width="10.33203125" style="330" bestFit="1" customWidth="1"/>
    <col min="8730" max="8962" width="9.109375" style="330"/>
    <col min="8963" max="8963" width="9.5546875" style="330" bestFit="1" customWidth="1"/>
    <col min="8964" max="8965" width="3.5546875" style="330" bestFit="1" customWidth="1"/>
    <col min="8966" max="8966" width="5.5546875" style="330" bestFit="1" customWidth="1"/>
    <col min="8967" max="8968" width="10.6640625" style="330" bestFit="1" customWidth="1"/>
    <col min="8969" max="8969" width="9.6640625" style="330" bestFit="1" customWidth="1"/>
    <col min="8970" max="8970" width="9.6640625" style="330" customWidth="1"/>
    <col min="8971" max="8972" width="9.6640625" style="330" bestFit="1" customWidth="1"/>
    <col min="8973" max="8973" width="8.109375" style="330" bestFit="1" customWidth="1"/>
    <col min="8974" max="8978" width="9.33203125" style="330" bestFit="1" customWidth="1"/>
    <col min="8979" max="8979" width="10.6640625" style="330" bestFit="1" customWidth="1"/>
    <col min="8980" max="8981" width="10.6640625" style="330" customWidth="1"/>
    <col min="8982" max="8983" width="11.6640625" style="330" bestFit="1" customWidth="1"/>
    <col min="8984" max="8984" width="9.109375" style="330"/>
    <col min="8985" max="8985" width="10.33203125" style="330" bestFit="1" customWidth="1"/>
    <col min="8986" max="9218" width="9.109375" style="330"/>
    <col min="9219" max="9219" width="9.5546875" style="330" bestFit="1" customWidth="1"/>
    <col min="9220" max="9221" width="3.5546875" style="330" bestFit="1" customWidth="1"/>
    <col min="9222" max="9222" width="5.5546875" style="330" bestFit="1" customWidth="1"/>
    <col min="9223" max="9224" width="10.6640625" style="330" bestFit="1" customWidth="1"/>
    <col min="9225" max="9225" width="9.6640625" style="330" bestFit="1" customWidth="1"/>
    <col min="9226" max="9226" width="9.6640625" style="330" customWidth="1"/>
    <col min="9227" max="9228" width="9.6640625" style="330" bestFit="1" customWidth="1"/>
    <col min="9229" max="9229" width="8.109375" style="330" bestFit="1" customWidth="1"/>
    <col min="9230" max="9234" width="9.33203125" style="330" bestFit="1" customWidth="1"/>
    <col min="9235" max="9235" width="10.6640625" style="330" bestFit="1" customWidth="1"/>
    <col min="9236" max="9237" width="10.6640625" style="330" customWidth="1"/>
    <col min="9238" max="9239" width="11.6640625" style="330" bestFit="1" customWidth="1"/>
    <col min="9240" max="9240" width="9.109375" style="330"/>
    <col min="9241" max="9241" width="10.33203125" style="330" bestFit="1" customWidth="1"/>
    <col min="9242" max="9474" width="9.109375" style="330"/>
    <col min="9475" max="9475" width="9.5546875" style="330" bestFit="1" customWidth="1"/>
    <col min="9476" max="9477" width="3.5546875" style="330" bestFit="1" customWidth="1"/>
    <col min="9478" max="9478" width="5.5546875" style="330" bestFit="1" customWidth="1"/>
    <col min="9479" max="9480" width="10.6640625" style="330" bestFit="1" customWidth="1"/>
    <col min="9481" max="9481" width="9.6640625" style="330" bestFit="1" customWidth="1"/>
    <col min="9482" max="9482" width="9.6640625" style="330" customWidth="1"/>
    <col min="9483" max="9484" width="9.6640625" style="330" bestFit="1" customWidth="1"/>
    <col min="9485" max="9485" width="8.109375" style="330" bestFit="1" customWidth="1"/>
    <col min="9486" max="9490" width="9.33203125" style="330" bestFit="1" customWidth="1"/>
    <col min="9491" max="9491" width="10.6640625" style="330" bestFit="1" customWidth="1"/>
    <col min="9492" max="9493" width="10.6640625" style="330" customWidth="1"/>
    <col min="9494" max="9495" width="11.6640625" style="330" bestFit="1" customWidth="1"/>
    <col min="9496" max="9496" width="9.109375" style="330"/>
    <col min="9497" max="9497" width="10.33203125" style="330" bestFit="1" customWidth="1"/>
    <col min="9498" max="9730" width="9.109375" style="330"/>
    <col min="9731" max="9731" width="9.5546875" style="330" bestFit="1" customWidth="1"/>
    <col min="9732" max="9733" width="3.5546875" style="330" bestFit="1" customWidth="1"/>
    <col min="9734" max="9734" width="5.5546875" style="330" bestFit="1" customWidth="1"/>
    <col min="9735" max="9736" width="10.6640625" style="330" bestFit="1" customWidth="1"/>
    <col min="9737" max="9737" width="9.6640625" style="330" bestFit="1" customWidth="1"/>
    <col min="9738" max="9738" width="9.6640625" style="330" customWidth="1"/>
    <col min="9739" max="9740" width="9.6640625" style="330" bestFit="1" customWidth="1"/>
    <col min="9741" max="9741" width="8.109375" style="330" bestFit="1" customWidth="1"/>
    <col min="9742" max="9746" width="9.33203125" style="330" bestFit="1" customWidth="1"/>
    <col min="9747" max="9747" width="10.6640625" style="330" bestFit="1" customWidth="1"/>
    <col min="9748" max="9749" width="10.6640625" style="330" customWidth="1"/>
    <col min="9750" max="9751" width="11.6640625" style="330" bestFit="1" customWidth="1"/>
    <col min="9752" max="9752" width="9.109375" style="330"/>
    <col min="9753" max="9753" width="10.33203125" style="330" bestFit="1" customWidth="1"/>
    <col min="9754" max="9986" width="9.109375" style="330"/>
    <col min="9987" max="9987" width="9.5546875" style="330" bestFit="1" customWidth="1"/>
    <col min="9988" max="9989" width="3.5546875" style="330" bestFit="1" customWidth="1"/>
    <col min="9990" max="9990" width="5.5546875" style="330" bestFit="1" customWidth="1"/>
    <col min="9991" max="9992" width="10.6640625" style="330" bestFit="1" customWidth="1"/>
    <col min="9993" max="9993" width="9.6640625" style="330" bestFit="1" customWidth="1"/>
    <col min="9994" max="9994" width="9.6640625" style="330" customWidth="1"/>
    <col min="9995" max="9996" width="9.6640625" style="330" bestFit="1" customWidth="1"/>
    <col min="9997" max="9997" width="8.109375" style="330" bestFit="1" customWidth="1"/>
    <col min="9998" max="10002" width="9.33203125" style="330" bestFit="1" customWidth="1"/>
    <col min="10003" max="10003" width="10.6640625" style="330" bestFit="1" customWidth="1"/>
    <col min="10004" max="10005" width="10.6640625" style="330" customWidth="1"/>
    <col min="10006" max="10007" width="11.6640625" style="330" bestFit="1" customWidth="1"/>
    <col min="10008" max="10008" width="9.109375" style="330"/>
    <col min="10009" max="10009" width="10.33203125" style="330" bestFit="1" customWidth="1"/>
    <col min="10010" max="10242" width="9.109375" style="330"/>
    <col min="10243" max="10243" width="9.5546875" style="330" bestFit="1" customWidth="1"/>
    <col min="10244" max="10245" width="3.5546875" style="330" bestFit="1" customWidth="1"/>
    <col min="10246" max="10246" width="5.5546875" style="330" bestFit="1" customWidth="1"/>
    <col min="10247" max="10248" width="10.6640625" style="330" bestFit="1" customWidth="1"/>
    <col min="10249" max="10249" width="9.6640625" style="330" bestFit="1" customWidth="1"/>
    <col min="10250" max="10250" width="9.6640625" style="330" customWidth="1"/>
    <col min="10251" max="10252" width="9.6640625" style="330" bestFit="1" customWidth="1"/>
    <col min="10253" max="10253" width="8.109375" style="330" bestFit="1" customWidth="1"/>
    <col min="10254" max="10258" width="9.33203125" style="330" bestFit="1" customWidth="1"/>
    <col min="10259" max="10259" width="10.6640625" style="330" bestFit="1" customWidth="1"/>
    <col min="10260" max="10261" width="10.6640625" style="330" customWidth="1"/>
    <col min="10262" max="10263" width="11.6640625" style="330" bestFit="1" customWidth="1"/>
    <col min="10264" max="10264" width="9.109375" style="330"/>
    <col min="10265" max="10265" width="10.33203125" style="330" bestFit="1" customWidth="1"/>
    <col min="10266" max="10498" width="9.109375" style="330"/>
    <col min="10499" max="10499" width="9.5546875" style="330" bestFit="1" customWidth="1"/>
    <col min="10500" max="10501" width="3.5546875" style="330" bestFit="1" customWidth="1"/>
    <col min="10502" max="10502" width="5.5546875" style="330" bestFit="1" customWidth="1"/>
    <col min="10503" max="10504" width="10.6640625" style="330" bestFit="1" customWidth="1"/>
    <col min="10505" max="10505" width="9.6640625" style="330" bestFit="1" customWidth="1"/>
    <col min="10506" max="10506" width="9.6640625" style="330" customWidth="1"/>
    <col min="10507" max="10508" width="9.6640625" style="330" bestFit="1" customWidth="1"/>
    <col min="10509" max="10509" width="8.109375" style="330" bestFit="1" customWidth="1"/>
    <col min="10510" max="10514" width="9.33203125" style="330" bestFit="1" customWidth="1"/>
    <col min="10515" max="10515" width="10.6640625" style="330" bestFit="1" customWidth="1"/>
    <col min="10516" max="10517" width="10.6640625" style="330" customWidth="1"/>
    <col min="10518" max="10519" width="11.6640625" style="330" bestFit="1" customWidth="1"/>
    <col min="10520" max="10520" width="9.109375" style="330"/>
    <col min="10521" max="10521" width="10.33203125" style="330" bestFit="1" customWidth="1"/>
    <col min="10522" max="10754" width="9.109375" style="330"/>
    <col min="10755" max="10755" width="9.5546875" style="330" bestFit="1" customWidth="1"/>
    <col min="10756" max="10757" width="3.5546875" style="330" bestFit="1" customWidth="1"/>
    <col min="10758" max="10758" width="5.5546875" style="330" bestFit="1" customWidth="1"/>
    <col min="10759" max="10760" width="10.6640625" style="330" bestFit="1" customWidth="1"/>
    <col min="10761" max="10761" width="9.6640625" style="330" bestFit="1" customWidth="1"/>
    <col min="10762" max="10762" width="9.6640625" style="330" customWidth="1"/>
    <col min="10763" max="10764" width="9.6640625" style="330" bestFit="1" customWidth="1"/>
    <col min="10765" max="10765" width="8.109375" style="330" bestFit="1" customWidth="1"/>
    <col min="10766" max="10770" width="9.33203125" style="330" bestFit="1" customWidth="1"/>
    <col min="10771" max="10771" width="10.6640625" style="330" bestFit="1" customWidth="1"/>
    <col min="10772" max="10773" width="10.6640625" style="330" customWidth="1"/>
    <col min="10774" max="10775" width="11.6640625" style="330" bestFit="1" customWidth="1"/>
    <col min="10776" max="10776" width="9.109375" style="330"/>
    <col min="10777" max="10777" width="10.33203125" style="330" bestFit="1" customWidth="1"/>
    <col min="10778" max="11010" width="9.109375" style="330"/>
    <col min="11011" max="11011" width="9.5546875" style="330" bestFit="1" customWidth="1"/>
    <col min="11012" max="11013" width="3.5546875" style="330" bestFit="1" customWidth="1"/>
    <col min="11014" max="11014" width="5.5546875" style="330" bestFit="1" customWidth="1"/>
    <col min="11015" max="11016" width="10.6640625" style="330" bestFit="1" customWidth="1"/>
    <col min="11017" max="11017" width="9.6640625" style="330" bestFit="1" customWidth="1"/>
    <col min="11018" max="11018" width="9.6640625" style="330" customWidth="1"/>
    <col min="11019" max="11020" width="9.6640625" style="330" bestFit="1" customWidth="1"/>
    <col min="11021" max="11021" width="8.109375" style="330" bestFit="1" customWidth="1"/>
    <col min="11022" max="11026" width="9.33203125" style="330" bestFit="1" customWidth="1"/>
    <col min="11027" max="11027" width="10.6640625" style="330" bestFit="1" customWidth="1"/>
    <col min="11028" max="11029" width="10.6640625" style="330" customWidth="1"/>
    <col min="11030" max="11031" width="11.6640625" style="330" bestFit="1" customWidth="1"/>
    <col min="11032" max="11032" width="9.109375" style="330"/>
    <col min="11033" max="11033" width="10.33203125" style="330" bestFit="1" customWidth="1"/>
    <col min="11034" max="11266" width="9.109375" style="330"/>
    <col min="11267" max="11267" width="9.5546875" style="330" bestFit="1" customWidth="1"/>
    <col min="11268" max="11269" width="3.5546875" style="330" bestFit="1" customWidth="1"/>
    <col min="11270" max="11270" width="5.5546875" style="330" bestFit="1" customWidth="1"/>
    <col min="11271" max="11272" width="10.6640625" style="330" bestFit="1" customWidth="1"/>
    <col min="11273" max="11273" width="9.6640625" style="330" bestFit="1" customWidth="1"/>
    <col min="11274" max="11274" width="9.6640625" style="330" customWidth="1"/>
    <col min="11275" max="11276" width="9.6640625" style="330" bestFit="1" customWidth="1"/>
    <col min="11277" max="11277" width="8.109375" style="330" bestFit="1" customWidth="1"/>
    <col min="11278" max="11282" width="9.33203125" style="330" bestFit="1" customWidth="1"/>
    <col min="11283" max="11283" width="10.6640625" style="330" bestFit="1" customWidth="1"/>
    <col min="11284" max="11285" width="10.6640625" style="330" customWidth="1"/>
    <col min="11286" max="11287" width="11.6640625" style="330" bestFit="1" customWidth="1"/>
    <col min="11288" max="11288" width="9.109375" style="330"/>
    <col min="11289" max="11289" width="10.33203125" style="330" bestFit="1" customWidth="1"/>
    <col min="11290" max="11522" width="9.109375" style="330"/>
    <col min="11523" max="11523" width="9.5546875" style="330" bestFit="1" customWidth="1"/>
    <col min="11524" max="11525" width="3.5546875" style="330" bestFit="1" customWidth="1"/>
    <col min="11526" max="11526" width="5.5546875" style="330" bestFit="1" customWidth="1"/>
    <col min="11527" max="11528" width="10.6640625" style="330" bestFit="1" customWidth="1"/>
    <col min="11529" max="11529" width="9.6640625" style="330" bestFit="1" customWidth="1"/>
    <col min="11530" max="11530" width="9.6640625" style="330" customWidth="1"/>
    <col min="11531" max="11532" width="9.6640625" style="330" bestFit="1" customWidth="1"/>
    <col min="11533" max="11533" width="8.109375" style="330" bestFit="1" customWidth="1"/>
    <col min="11534" max="11538" width="9.33203125" style="330" bestFit="1" customWidth="1"/>
    <col min="11539" max="11539" width="10.6640625" style="330" bestFit="1" customWidth="1"/>
    <col min="11540" max="11541" width="10.6640625" style="330" customWidth="1"/>
    <col min="11542" max="11543" width="11.6640625" style="330" bestFit="1" customWidth="1"/>
    <col min="11544" max="11544" width="9.109375" style="330"/>
    <col min="11545" max="11545" width="10.33203125" style="330" bestFit="1" customWidth="1"/>
    <col min="11546" max="11778" width="9.109375" style="330"/>
    <col min="11779" max="11779" width="9.5546875" style="330" bestFit="1" customWidth="1"/>
    <col min="11780" max="11781" width="3.5546875" style="330" bestFit="1" customWidth="1"/>
    <col min="11782" max="11782" width="5.5546875" style="330" bestFit="1" customWidth="1"/>
    <col min="11783" max="11784" width="10.6640625" style="330" bestFit="1" customWidth="1"/>
    <col min="11785" max="11785" width="9.6640625" style="330" bestFit="1" customWidth="1"/>
    <col min="11786" max="11786" width="9.6640625" style="330" customWidth="1"/>
    <col min="11787" max="11788" width="9.6640625" style="330" bestFit="1" customWidth="1"/>
    <col min="11789" max="11789" width="8.109375" style="330" bestFit="1" customWidth="1"/>
    <col min="11790" max="11794" width="9.33203125" style="330" bestFit="1" customWidth="1"/>
    <col min="11795" max="11795" width="10.6640625" style="330" bestFit="1" customWidth="1"/>
    <col min="11796" max="11797" width="10.6640625" style="330" customWidth="1"/>
    <col min="11798" max="11799" width="11.6640625" style="330" bestFit="1" customWidth="1"/>
    <col min="11800" max="11800" width="9.109375" style="330"/>
    <col min="11801" max="11801" width="10.33203125" style="330" bestFit="1" customWidth="1"/>
    <col min="11802" max="12034" width="9.109375" style="330"/>
    <col min="12035" max="12035" width="9.5546875" style="330" bestFit="1" customWidth="1"/>
    <col min="12036" max="12037" width="3.5546875" style="330" bestFit="1" customWidth="1"/>
    <col min="12038" max="12038" width="5.5546875" style="330" bestFit="1" customWidth="1"/>
    <col min="12039" max="12040" width="10.6640625" style="330" bestFit="1" customWidth="1"/>
    <col min="12041" max="12041" width="9.6640625" style="330" bestFit="1" customWidth="1"/>
    <col min="12042" max="12042" width="9.6640625" style="330" customWidth="1"/>
    <col min="12043" max="12044" width="9.6640625" style="330" bestFit="1" customWidth="1"/>
    <col min="12045" max="12045" width="8.109375" style="330" bestFit="1" customWidth="1"/>
    <col min="12046" max="12050" width="9.33203125" style="330" bestFit="1" customWidth="1"/>
    <col min="12051" max="12051" width="10.6640625" style="330" bestFit="1" customWidth="1"/>
    <col min="12052" max="12053" width="10.6640625" style="330" customWidth="1"/>
    <col min="12054" max="12055" width="11.6640625" style="330" bestFit="1" customWidth="1"/>
    <col min="12056" max="12056" width="9.109375" style="330"/>
    <col min="12057" max="12057" width="10.33203125" style="330" bestFit="1" customWidth="1"/>
    <col min="12058" max="12290" width="9.109375" style="330"/>
    <col min="12291" max="12291" width="9.5546875" style="330" bestFit="1" customWidth="1"/>
    <col min="12292" max="12293" width="3.5546875" style="330" bestFit="1" customWidth="1"/>
    <col min="12294" max="12294" width="5.5546875" style="330" bestFit="1" customWidth="1"/>
    <col min="12295" max="12296" width="10.6640625" style="330" bestFit="1" customWidth="1"/>
    <col min="12297" max="12297" width="9.6640625" style="330" bestFit="1" customWidth="1"/>
    <col min="12298" max="12298" width="9.6640625" style="330" customWidth="1"/>
    <col min="12299" max="12300" width="9.6640625" style="330" bestFit="1" customWidth="1"/>
    <col min="12301" max="12301" width="8.109375" style="330" bestFit="1" customWidth="1"/>
    <col min="12302" max="12306" width="9.33203125" style="330" bestFit="1" customWidth="1"/>
    <col min="12307" max="12307" width="10.6640625" style="330" bestFit="1" customWidth="1"/>
    <col min="12308" max="12309" width="10.6640625" style="330" customWidth="1"/>
    <col min="12310" max="12311" width="11.6640625" style="330" bestFit="1" customWidth="1"/>
    <col min="12312" max="12312" width="9.109375" style="330"/>
    <col min="12313" max="12313" width="10.33203125" style="330" bestFit="1" customWidth="1"/>
    <col min="12314" max="12546" width="9.109375" style="330"/>
    <col min="12547" max="12547" width="9.5546875" style="330" bestFit="1" customWidth="1"/>
    <col min="12548" max="12549" width="3.5546875" style="330" bestFit="1" customWidth="1"/>
    <col min="12550" max="12550" width="5.5546875" style="330" bestFit="1" customWidth="1"/>
    <col min="12551" max="12552" width="10.6640625" style="330" bestFit="1" customWidth="1"/>
    <col min="12553" max="12553" width="9.6640625" style="330" bestFit="1" customWidth="1"/>
    <col min="12554" max="12554" width="9.6640625" style="330" customWidth="1"/>
    <col min="12555" max="12556" width="9.6640625" style="330" bestFit="1" customWidth="1"/>
    <col min="12557" max="12557" width="8.109375" style="330" bestFit="1" customWidth="1"/>
    <col min="12558" max="12562" width="9.33203125" style="330" bestFit="1" customWidth="1"/>
    <col min="12563" max="12563" width="10.6640625" style="330" bestFit="1" customWidth="1"/>
    <col min="12564" max="12565" width="10.6640625" style="330" customWidth="1"/>
    <col min="12566" max="12567" width="11.6640625" style="330" bestFit="1" customWidth="1"/>
    <col min="12568" max="12568" width="9.109375" style="330"/>
    <col min="12569" max="12569" width="10.33203125" style="330" bestFit="1" customWidth="1"/>
    <col min="12570" max="12802" width="9.109375" style="330"/>
    <col min="12803" max="12803" width="9.5546875" style="330" bestFit="1" customWidth="1"/>
    <col min="12804" max="12805" width="3.5546875" style="330" bestFit="1" customWidth="1"/>
    <col min="12806" max="12806" width="5.5546875" style="330" bestFit="1" customWidth="1"/>
    <col min="12807" max="12808" width="10.6640625" style="330" bestFit="1" customWidth="1"/>
    <col min="12809" max="12809" width="9.6640625" style="330" bestFit="1" customWidth="1"/>
    <col min="12810" max="12810" width="9.6640625" style="330" customWidth="1"/>
    <col min="12811" max="12812" width="9.6640625" style="330" bestFit="1" customWidth="1"/>
    <col min="12813" max="12813" width="8.109375" style="330" bestFit="1" customWidth="1"/>
    <col min="12814" max="12818" width="9.33203125" style="330" bestFit="1" customWidth="1"/>
    <col min="12819" max="12819" width="10.6640625" style="330" bestFit="1" customWidth="1"/>
    <col min="12820" max="12821" width="10.6640625" style="330" customWidth="1"/>
    <col min="12822" max="12823" width="11.6640625" style="330" bestFit="1" customWidth="1"/>
    <col min="12824" max="12824" width="9.109375" style="330"/>
    <col min="12825" max="12825" width="10.33203125" style="330" bestFit="1" customWidth="1"/>
    <col min="12826" max="13058" width="9.109375" style="330"/>
    <col min="13059" max="13059" width="9.5546875" style="330" bestFit="1" customWidth="1"/>
    <col min="13060" max="13061" width="3.5546875" style="330" bestFit="1" customWidth="1"/>
    <col min="13062" max="13062" width="5.5546875" style="330" bestFit="1" customWidth="1"/>
    <col min="13063" max="13064" width="10.6640625" style="330" bestFit="1" customWidth="1"/>
    <col min="13065" max="13065" width="9.6640625" style="330" bestFit="1" customWidth="1"/>
    <col min="13066" max="13066" width="9.6640625" style="330" customWidth="1"/>
    <col min="13067" max="13068" width="9.6640625" style="330" bestFit="1" customWidth="1"/>
    <col min="13069" max="13069" width="8.109375" style="330" bestFit="1" customWidth="1"/>
    <col min="13070" max="13074" width="9.33203125" style="330" bestFit="1" customWidth="1"/>
    <col min="13075" max="13075" width="10.6640625" style="330" bestFit="1" customWidth="1"/>
    <col min="13076" max="13077" width="10.6640625" style="330" customWidth="1"/>
    <col min="13078" max="13079" width="11.6640625" style="330" bestFit="1" customWidth="1"/>
    <col min="13080" max="13080" width="9.109375" style="330"/>
    <col min="13081" max="13081" width="10.33203125" style="330" bestFit="1" customWidth="1"/>
    <col min="13082" max="13314" width="9.109375" style="330"/>
    <col min="13315" max="13315" width="9.5546875" style="330" bestFit="1" customWidth="1"/>
    <col min="13316" max="13317" width="3.5546875" style="330" bestFit="1" customWidth="1"/>
    <col min="13318" max="13318" width="5.5546875" style="330" bestFit="1" customWidth="1"/>
    <col min="13319" max="13320" width="10.6640625" style="330" bestFit="1" customWidth="1"/>
    <col min="13321" max="13321" width="9.6640625" style="330" bestFit="1" customWidth="1"/>
    <col min="13322" max="13322" width="9.6640625" style="330" customWidth="1"/>
    <col min="13323" max="13324" width="9.6640625" style="330" bestFit="1" customWidth="1"/>
    <col min="13325" max="13325" width="8.109375" style="330" bestFit="1" customWidth="1"/>
    <col min="13326" max="13330" width="9.33203125" style="330" bestFit="1" customWidth="1"/>
    <col min="13331" max="13331" width="10.6640625" style="330" bestFit="1" customWidth="1"/>
    <col min="13332" max="13333" width="10.6640625" style="330" customWidth="1"/>
    <col min="13334" max="13335" width="11.6640625" style="330" bestFit="1" customWidth="1"/>
    <col min="13336" max="13336" width="9.109375" style="330"/>
    <col min="13337" max="13337" width="10.33203125" style="330" bestFit="1" customWidth="1"/>
    <col min="13338" max="13570" width="9.109375" style="330"/>
    <col min="13571" max="13571" width="9.5546875" style="330" bestFit="1" customWidth="1"/>
    <col min="13572" max="13573" width="3.5546875" style="330" bestFit="1" customWidth="1"/>
    <col min="13574" max="13574" width="5.5546875" style="330" bestFit="1" customWidth="1"/>
    <col min="13575" max="13576" width="10.6640625" style="330" bestFit="1" customWidth="1"/>
    <col min="13577" max="13577" width="9.6640625" style="330" bestFit="1" customWidth="1"/>
    <col min="13578" max="13578" width="9.6640625" style="330" customWidth="1"/>
    <col min="13579" max="13580" width="9.6640625" style="330" bestFit="1" customWidth="1"/>
    <col min="13581" max="13581" width="8.109375" style="330" bestFit="1" customWidth="1"/>
    <col min="13582" max="13586" width="9.33203125" style="330" bestFit="1" customWidth="1"/>
    <col min="13587" max="13587" width="10.6640625" style="330" bestFit="1" customWidth="1"/>
    <col min="13588" max="13589" width="10.6640625" style="330" customWidth="1"/>
    <col min="13590" max="13591" width="11.6640625" style="330" bestFit="1" customWidth="1"/>
    <col min="13592" max="13592" width="9.109375" style="330"/>
    <col min="13593" max="13593" width="10.33203125" style="330" bestFit="1" customWidth="1"/>
    <col min="13594" max="13826" width="9.109375" style="330"/>
    <col min="13827" max="13827" width="9.5546875" style="330" bestFit="1" customWidth="1"/>
    <col min="13828" max="13829" width="3.5546875" style="330" bestFit="1" customWidth="1"/>
    <col min="13830" max="13830" width="5.5546875" style="330" bestFit="1" customWidth="1"/>
    <col min="13831" max="13832" width="10.6640625" style="330" bestFit="1" customWidth="1"/>
    <col min="13833" max="13833" width="9.6640625" style="330" bestFit="1" customWidth="1"/>
    <col min="13834" max="13834" width="9.6640625" style="330" customWidth="1"/>
    <col min="13835" max="13836" width="9.6640625" style="330" bestFit="1" customWidth="1"/>
    <col min="13837" max="13837" width="8.109375" style="330" bestFit="1" customWidth="1"/>
    <col min="13838" max="13842" width="9.33203125" style="330" bestFit="1" customWidth="1"/>
    <col min="13843" max="13843" width="10.6640625" style="330" bestFit="1" customWidth="1"/>
    <col min="13844" max="13845" width="10.6640625" style="330" customWidth="1"/>
    <col min="13846" max="13847" width="11.6640625" style="330" bestFit="1" customWidth="1"/>
    <col min="13848" max="13848" width="9.109375" style="330"/>
    <col min="13849" max="13849" width="10.33203125" style="330" bestFit="1" customWidth="1"/>
    <col min="13850" max="14082" width="9.109375" style="330"/>
    <col min="14083" max="14083" width="9.5546875" style="330" bestFit="1" customWidth="1"/>
    <col min="14084" max="14085" width="3.5546875" style="330" bestFit="1" customWidth="1"/>
    <col min="14086" max="14086" width="5.5546875" style="330" bestFit="1" customWidth="1"/>
    <col min="14087" max="14088" width="10.6640625" style="330" bestFit="1" customWidth="1"/>
    <col min="14089" max="14089" width="9.6640625" style="330" bestFit="1" customWidth="1"/>
    <col min="14090" max="14090" width="9.6640625" style="330" customWidth="1"/>
    <col min="14091" max="14092" width="9.6640625" style="330" bestFit="1" customWidth="1"/>
    <col min="14093" max="14093" width="8.109375" style="330" bestFit="1" customWidth="1"/>
    <col min="14094" max="14098" width="9.33203125" style="330" bestFit="1" customWidth="1"/>
    <col min="14099" max="14099" width="10.6640625" style="330" bestFit="1" customWidth="1"/>
    <col min="14100" max="14101" width="10.6640625" style="330" customWidth="1"/>
    <col min="14102" max="14103" width="11.6640625" style="330" bestFit="1" customWidth="1"/>
    <col min="14104" max="14104" width="9.109375" style="330"/>
    <col min="14105" max="14105" width="10.33203125" style="330" bestFit="1" customWidth="1"/>
    <col min="14106" max="14338" width="9.109375" style="330"/>
    <col min="14339" max="14339" width="9.5546875" style="330" bestFit="1" customWidth="1"/>
    <col min="14340" max="14341" width="3.5546875" style="330" bestFit="1" customWidth="1"/>
    <col min="14342" max="14342" width="5.5546875" style="330" bestFit="1" customWidth="1"/>
    <col min="14343" max="14344" width="10.6640625" style="330" bestFit="1" customWidth="1"/>
    <col min="14345" max="14345" width="9.6640625" style="330" bestFit="1" customWidth="1"/>
    <col min="14346" max="14346" width="9.6640625" style="330" customWidth="1"/>
    <col min="14347" max="14348" width="9.6640625" style="330" bestFit="1" customWidth="1"/>
    <col min="14349" max="14349" width="8.109375" style="330" bestFit="1" customWidth="1"/>
    <col min="14350" max="14354" width="9.33203125" style="330" bestFit="1" customWidth="1"/>
    <col min="14355" max="14355" width="10.6640625" style="330" bestFit="1" customWidth="1"/>
    <col min="14356" max="14357" width="10.6640625" style="330" customWidth="1"/>
    <col min="14358" max="14359" width="11.6640625" style="330" bestFit="1" customWidth="1"/>
    <col min="14360" max="14360" width="9.109375" style="330"/>
    <col min="14361" max="14361" width="10.33203125" style="330" bestFit="1" customWidth="1"/>
    <col min="14362" max="14594" width="9.109375" style="330"/>
    <col min="14595" max="14595" width="9.5546875" style="330" bestFit="1" customWidth="1"/>
    <col min="14596" max="14597" width="3.5546875" style="330" bestFit="1" customWidth="1"/>
    <col min="14598" max="14598" width="5.5546875" style="330" bestFit="1" customWidth="1"/>
    <col min="14599" max="14600" width="10.6640625" style="330" bestFit="1" customWidth="1"/>
    <col min="14601" max="14601" width="9.6640625" style="330" bestFit="1" customWidth="1"/>
    <col min="14602" max="14602" width="9.6640625" style="330" customWidth="1"/>
    <col min="14603" max="14604" width="9.6640625" style="330" bestFit="1" customWidth="1"/>
    <col min="14605" max="14605" width="8.109375" style="330" bestFit="1" customWidth="1"/>
    <col min="14606" max="14610" width="9.33203125" style="330" bestFit="1" customWidth="1"/>
    <col min="14611" max="14611" width="10.6640625" style="330" bestFit="1" customWidth="1"/>
    <col min="14612" max="14613" width="10.6640625" style="330" customWidth="1"/>
    <col min="14614" max="14615" width="11.6640625" style="330" bestFit="1" customWidth="1"/>
    <col min="14616" max="14616" width="9.109375" style="330"/>
    <col min="14617" max="14617" width="10.33203125" style="330" bestFit="1" customWidth="1"/>
    <col min="14618" max="14850" width="9.109375" style="330"/>
    <col min="14851" max="14851" width="9.5546875" style="330" bestFit="1" customWidth="1"/>
    <col min="14852" max="14853" width="3.5546875" style="330" bestFit="1" customWidth="1"/>
    <col min="14854" max="14854" width="5.5546875" style="330" bestFit="1" customWidth="1"/>
    <col min="14855" max="14856" width="10.6640625" style="330" bestFit="1" customWidth="1"/>
    <col min="14857" max="14857" width="9.6640625" style="330" bestFit="1" customWidth="1"/>
    <col min="14858" max="14858" width="9.6640625" style="330" customWidth="1"/>
    <col min="14859" max="14860" width="9.6640625" style="330" bestFit="1" customWidth="1"/>
    <col min="14861" max="14861" width="8.109375" style="330" bestFit="1" customWidth="1"/>
    <col min="14862" max="14866" width="9.33203125" style="330" bestFit="1" customWidth="1"/>
    <col min="14867" max="14867" width="10.6640625" style="330" bestFit="1" customWidth="1"/>
    <col min="14868" max="14869" width="10.6640625" style="330" customWidth="1"/>
    <col min="14870" max="14871" width="11.6640625" style="330" bestFit="1" customWidth="1"/>
    <col min="14872" max="14872" width="9.109375" style="330"/>
    <col min="14873" max="14873" width="10.33203125" style="330" bestFit="1" customWidth="1"/>
    <col min="14874" max="15106" width="9.109375" style="330"/>
    <col min="15107" max="15107" width="9.5546875" style="330" bestFit="1" customWidth="1"/>
    <col min="15108" max="15109" width="3.5546875" style="330" bestFit="1" customWidth="1"/>
    <col min="15110" max="15110" width="5.5546875" style="330" bestFit="1" customWidth="1"/>
    <col min="15111" max="15112" width="10.6640625" style="330" bestFit="1" customWidth="1"/>
    <col min="15113" max="15113" width="9.6640625" style="330" bestFit="1" customWidth="1"/>
    <col min="15114" max="15114" width="9.6640625" style="330" customWidth="1"/>
    <col min="15115" max="15116" width="9.6640625" style="330" bestFit="1" customWidth="1"/>
    <col min="15117" max="15117" width="8.109375" style="330" bestFit="1" customWidth="1"/>
    <col min="15118" max="15122" width="9.33203125" style="330" bestFit="1" customWidth="1"/>
    <col min="15123" max="15123" width="10.6640625" style="330" bestFit="1" customWidth="1"/>
    <col min="15124" max="15125" width="10.6640625" style="330" customWidth="1"/>
    <col min="15126" max="15127" width="11.6640625" style="330" bestFit="1" customWidth="1"/>
    <col min="15128" max="15128" width="9.109375" style="330"/>
    <col min="15129" max="15129" width="10.33203125" style="330" bestFit="1" customWidth="1"/>
    <col min="15130" max="15362" width="9.109375" style="330"/>
    <col min="15363" max="15363" width="9.5546875" style="330" bestFit="1" customWidth="1"/>
    <col min="15364" max="15365" width="3.5546875" style="330" bestFit="1" customWidth="1"/>
    <col min="15366" max="15366" width="5.5546875" style="330" bestFit="1" customWidth="1"/>
    <col min="15367" max="15368" width="10.6640625" style="330" bestFit="1" customWidth="1"/>
    <col min="15369" max="15369" width="9.6640625" style="330" bestFit="1" customWidth="1"/>
    <col min="15370" max="15370" width="9.6640625" style="330" customWidth="1"/>
    <col min="15371" max="15372" width="9.6640625" style="330" bestFit="1" customWidth="1"/>
    <col min="15373" max="15373" width="8.109375" style="330" bestFit="1" customWidth="1"/>
    <col min="15374" max="15378" width="9.33203125" style="330" bestFit="1" customWidth="1"/>
    <col min="15379" max="15379" width="10.6640625" style="330" bestFit="1" customWidth="1"/>
    <col min="15380" max="15381" width="10.6640625" style="330" customWidth="1"/>
    <col min="15382" max="15383" width="11.6640625" style="330" bestFit="1" customWidth="1"/>
    <col min="15384" max="15384" width="9.109375" style="330"/>
    <col min="15385" max="15385" width="10.33203125" style="330" bestFit="1" customWidth="1"/>
    <col min="15386" max="15618" width="9.109375" style="330"/>
    <col min="15619" max="15619" width="9.5546875" style="330" bestFit="1" customWidth="1"/>
    <col min="15620" max="15621" width="3.5546875" style="330" bestFit="1" customWidth="1"/>
    <col min="15622" max="15622" width="5.5546875" style="330" bestFit="1" customWidth="1"/>
    <col min="15623" max="15624" width="10.6640625" style="330" bestFit="1" customWidth="1"/>
    <col min="15625" max="15625" width="9.6640625" style="330" bestFit="1" customWidth="1"/>
    <col min="15626" max="15626" width="9.6640625" style="330" customWidth="1"/>
    <col min="15627" max="15628" width="9.6640625" style="330" bestFit="1" customWidth="1"/>
    <col min="15629" max="15629" width="8.109375" style="330" bestFit="1" customWidth="1"/>
    <col min="15630" max="15634" width="9.33203125" style="330" bestFit="1" customWidth="1"/>
    <col min="15635" max="15635" width="10.6640625" style="330" bestFit="1" customWidth="1"/>
    <col min="15636" max="15637" width="10.6640625" style="330" customWidth="1"/>
    <col min="15638" max="15639" width="11.6640625" style="330" bestFit="1" customWidth="1"/>
    <col min="15640" max="15640" width="9.109375" style="330"/>
    <col min="15641" max="15641" width="10.33203125" style="330" bestFit="1" customWidth="1"/>
    <col min="15642" max="15874" width="9.109375" style="330"/>
    <col min="15875" max="15875" width="9.5546875" style="330" bestFit="1" customWidth="1"/>
    <col min="15876" max="15877" width="3.5546875" style="330" bestFit="1" customWidth="1"/>
    <col min="15878" max="15878" width="5.5546875" style="330" bestFit="1" customWidth="1"/>
    <col min="15879" max="15880" width="10.6640625" style="330" bestFit="1" customWidth="1"/>
    <col min="15881" max="15881" width="9.6640625" style="330" bestFit="1" customWidth="1"/>
    <col min="15882" max="15882" width="9.6640625" style="330" customWidth="1"/>
    <col min="15883" max="15884" width="9.6640625" style="330" bestFit="1" customWidth="1"/>
    <col min="15885" max="15885" width="8.109375" style="330" bestFit="1" customWidth="1"/>
    <col min="15886" max="15890" width="9.33203125" style="330" bestFit="1" customWidth="1"/>
    <col min="15891" max="15891" width="10.6640625" style="330" bestFit="1" customWidth="1"/>
    <col min="15892" max="15893" width="10.6640625" style="330" customWidth="1"/>
    <col min="15894" max="15895" width="11.6640625" style="330" bestFit="1" customWidth="1"/>
    <col min="15896" max="15896" width="9.109375" style="330"/>
    <col min="15897" max="15897" width="10.33203125" style="330" bestFit="1" customWidth="1"/>
    <col min="15898" max="16130" width="9.109375" style="330"/>
    <col min="16131" max="16131" width="9.5546875" style="330" bestFit="1" customWidth="1"/>
    <col min="16132" max="16133" width="3.5546875" style="330" bestFit="1" customWidth="1"/>
    <col min="16134" max="16134" width="5.5546875" style="330" bestFit="1" customWidth="1"/>
    <col min="16135" max="16136" width="10.6640625" style="330" bestFit="1" customWidth="1"/>
    <col min="16137" max="16137" width="9.6640625" style="330" bestFit="1" customWidth="1"/>
    <col min="16138" max="16138" width="9.6640625" style="330" customWidth="1"/>
    <col min="16139" max="16140" width="9.6640625" style="330" bestFit="1" customWidth="1"/>
    <col min="16141" max="16141" width="8.109375" style="330" bestFit="1" customWidth="1"/>
    <col min="16142" max="16146" width="9.33203125" style="330" bestFit="1" customWidth="1"/>
    <col min="16147" max="16147" width="10.6640625" style="330" bestFit="1" customWidth="1"/>
    <col min="16148" max="16149" width="10.6640625" style="330" customWidth="1"/>
    <col min="16150" max="16151" width="11.6640625" style="330" bestFit="1" customWidth="1"/>
    <col min="16152" max="16152" width="9.109375" style="330"/>
    <col min="16153" max="16153" width="10.33203125" style="330" bestFit="1" customWidth="1"/>
    <col min="16154" max="16383" width="9.109375" style="330"/>
    <col min="16384" max="16384" width="9.109375" style="330" customWidth="1"/>
  </cols>
  <sheetData>
    <row r="3" spans="1:25">
      <c r="A3" s="497" t="s">
        <v>0</v>
      </c>
      <c r="B3" s="497"/>
      <c r="C3" s="497"/>
      <c r="D3" s="497"/>
      <c r="E3" s="497"/>
      <c r="F3" s="497"/>
      <c r="G3" s="497"/>
      <c r="H3" s="497"/>
      <c r="I3" s="497"/>
      <c r="J3" s="497"/>
      <c r="K3" s="497"/>
      <c r="L3" s="497"/>
      <c r="M3" s="497"/>
      <c r="N3" s="497"/>
      <c r="O3" s="497"/>
      <c r="P3" s="497"/>
      <c r="Q3" s="497"/>
      <c r="R3" s="497"/>
      <c r="S3" s="497"/>
      <c r="T3" s="497"/>
      <c r="U3" s="497"/>
    </row>
    <row r="4" spans="1:25">
      <c r="A4" s="498" t="s">
        <v>672</v>
      </c>
      <c r="B4" s="498"/>
      <c r="C4" s="498"/>
      <c r="D4" s="498"/>
      <c r="E4" s="498"/>
      <c r="F4" s="498"/>
      <c r="G4" s="498"/>
      <c r="H4" s="498"/>
      <c r="I4" s="498"/>
      <c r="J4" s="498"/>
      <c r="K4" s="498"/>
      <c r="L4" s="498"/>
      <c r="M4" s="498"/>
      <c r="N4" s="498"/>
      <c r="O4" s="498"/>
      <c r="P4" s="498"/>
      <c r="Q4" s="498"/>
      <c r="R4" s="498"/>
      <c r="S4" s="498"/>
      <c r="T4" s="498"/>
      <c r="U4" s="498"/>
    </row>
    <row r="5" spans="1:25">
      <c r="A5" s="498" t="s">
        <v>596</v>
      </c>
      <c r="B5" s="498"/>
      <c r="C5" s="498"/>
      <c r="D5" s="498"/>
      <c r="E5" s="498"/>
      <c r="F5" s="498"/>
      <c r="G5" s="498"/>
      <c r="H5" s="498"/>
      <c r="I5" s="498"/>
      <c r="J5" s="498"/>
      <c r="K5" s="498"/>
      <c r="L5" s="498"/>
      <c r="M5" s="498"/>
      <c r="N5" s="498"/>
      <c r="O5" s="498"/>
      <c r="P5" s="498"/>
      <c r="Q5" s="498"/>
      <c r="R5" s="498"/>
      <c r="S5" s="498"/>
      <c r="T5" s="498"/>
      <c r="U5" s="498"/>
    </row>
    <row r="7" spans="1:25" ht="199.2">
      <c r="B7" s="290" t="s">
        <v>16</v>
      </c>
      <c r="C7" s="290" t="s">
        <v>17</v>
      </c>
      <c r="D7" s="290" t="s">
        <v>18</v>
      </c>
      <c r="E7" s="290" t="s">
        <v>19</v>
      </c>
      <c r="F7" s="291" t="s">
        <v>20</v>
      </c>
      <c r="G7" s="292" t="s">
        <v>21</v>
      </c>
      <c r="H7" s="291" t="s">
        <v>22</v>
      </c>
      <c r="I7" s="291" t="s">
        <v>699</v>
      </c>
      <c r="J7" s="291" t="s">
        <v>23</v>
      </c>
      <c r="K7" s="331" t="s">
        <v>24</v>
      </c>
      <c r="L7" s="331" t="s">
        <v>25</v>
      </c>
      <c r="M7" s="331" t="s">
        <v>26</v>
      </c>
      <c r="N7" s="331" t="s">
        <v>27</v>
      </c>
      <c r="O7" s="331" t="s">
        <v>28</v>
      </c>
      <c r="P7" s="331" t="s">
        <v>29</v>
      </c>
      <c r="Q7" s="331" t="s">
        <v>30</v>
      </c>
      <c r="R7" s="332" t="s">
        <v>700</v>
      </c>
      <c r="S7" s="424" t="str">
        <f>+"LESS "&amp;I7&amp;" (1)"</f>
        <v>LESS Southwestern Electric Coop (1)</v>
      </c>
      <c r="T7" s="424" t="s">
        <v>736</v>
      </c>
      <c r="U7" s="332" t="s">
        <v>737</v>
      </c>
      <c r="V7" s="333"/>
      <c r="W7" s="333"/>
      <c r="Y7" s="333"/>
    </row>
    <row r="8" spans="1:25" ht="26.4">
      <c r="A8" s="293" t="s">
        <v>31</v>
      </c>
      <c r="B8" s="334"/>
      <c r="C8" s="334"/>
      <c r="D8" s="334"/>
      <c r="E8" s="334"/>
      <c r="F8" s="294" t="s">
        <v>32</v>
      </c>
      <c r="G8" s="294" t="s">
        <v>33</v>
      </c>
      <c r="H8" s="294" t="s">
        <v>178</v>
      </c>
      <c r="I8" s="294" t="s">
        <v>701</v>
      </c>
      <c r="J8" s="294" t="s">
        <v>675</v>
      </c>
      <c r="K8" s="294" t="s">
        <v>676</v>
      </c>
      <c r="L8" s="294" t="s">
        <v>677</v>
      </c>
      <c r="M8" s="294" t="s">
        <v>678</v>
      </c>
      <c r="N8" s="294" t="s">
        <v>679</v>
      </c>
      <c r="O8" s="294" t="s">
        <v>680</v>
      </c>
      <c r="P8" s="294" t="s">
        <v>681</v>
      </c>
      <c r="Q8" s="294" t="s">
        <v>682</v>
      </c>
      <c r="R8" s="335" t="s">
        <v>673</v>
      </c>
      <c r="S8" s="294"/>
      <c r="T8" s="294"/>
      <c r="U8" s="335"/>
    </row>
    <row r="9" spans="1:25" ht="15">
      <c r="B9" s="295">
        <v>2013</v>
      </c>
      <c r="C9" s="295">
        <v>1</v>
      </c>
      <c r="D9" s="295">
        <v>14</v>
      </c>
      <c r="E9" s="295">
        <v>1900</v>
      </c>
      <c r="F9" s="296">
        <v>3493205</v>
      </c>
      <c r="G9" s="296">
        <v>1509200</v>
      </c>
      <c r="H9" s="296">
        <v>251000</v>
      </c>
      <c r="I9" s="296">
        <v>78000</v>
      </c>
      <c r="J9" s="296">
        <v>136000</v>
      </c>
      <c r="K9" s="296">
        <v>143000</v>
      </c>
      <c r="L9" s="296">
        <v>60000</v>
      </c>
      <c r="M9" s="296">
        <v>12283</v>
      </c>
      <c r="N9" s="296">
        <v>39000</v>
      </c>
      <c r="O9" s="296">
        <v>51000</v>
      </c>
      <c r="P9" s="296">
        <v>3490</v>
      </c>
      <c r="Q9" s="296">
        <v>30000</v>
      </c>
      <c r="R9" s="336">
        <f t="shared" ref="R9:R20" si="0">SUM(F9:Q9)</f>
        <v>5806178</v>
      </c>
      <c r="S9" s="296">
        <f t="shared" ref="S9:S20" si="1">-I9</f>
        <v>-78000</v>
      </c>
      <c r="T9" s="296">
        <f>+'WP 10a'!I9</f>
        <v>685906.2395218719</v>
      </c>
      <c r="U9" s="336">
        <f t="shared" ref="U9:U20" si="2">SUM(R9:T9)</f>
        <v>6414084.2395218723</v>
      </c>
      <c r="W9" s="337"/>
      <c r="X9" s="338"/>
      <c r="Y9" s="337"/>
    </row>
    <row r="10" spans="1:25">
      <c r="B10" s="295">
        <v>2013</v>
      </c>
      <c r="C10" s="295">
        <v>2</v>
      </c>
      <c r="D10" s="295">
        <v>14</v>
      </c>
      <c r="E10" s="295">
        <v>800</v>
      </c>
      <c r="F10" s="296">
        <v>2892247</v>
      </c>
      <c r="G10" s="296">
        <v>1256360</v>
      </c>
      <c r="H10" s="296">
        <v>251000</v>
      </c>
      <c r="I10" s="296">
        <v>78000</v>
      </c>
      <c r="J10" s="296">
        <v>108000</v>
      </c>
      <c r="K10" s="296">
        <v>134000</v>
      </c>
      <c r="L10" s="296">
        <v>52000</v>
      </c>
      <c r="M10" s="296">
        <v>10617</v>
      </c>
      <c r="N10" s="296">
        <v>33000</v>
      </c>
      <c r="O10" s="296">
        <v>37000</v>
      </c>
      <c r="P10" s="296">
        <v>2826</v>
      </c>
      <c r="Q10" s="296">
        <v>24000</v>
      </c>
      <c r="R10" s="336">
        <f t="shared" si="0"/>
        <v>4879050</v>
      </c>
      <c r="S10" s="296">
        <f t="shared" si="1"/>
        <v>-78000</v>
      </c>
      <c r="T10" s="296">
        <f>+'WP 10a'!I10</f>
        <v>685906.2395218719</v>
      </c>
      <c r="U10" s="336">
        <f t="shared" si="2"/>
        <v>5486956.2395218723</v>
      </c>
      <c r="W10" s="337"/>
      <c r="Y10" s="337"/>
    </row>
    <row r="11" spans="1:25">
      <c r="B11" s="295">
        <v>2013</v>
      </c>
      <c r="C11" s="295">
        <v>3</v>
      </c>
      <c r="D11" s="295">
        <v>27</v>
      </c>
      <c r="E11" s="295">
        <v>800</v>
      </c>
      <c r="F11" s="296">
        <v>3095327</v>
      </c>
      <c r="G11" s="296">
        <v>1261020</v>
      </c>
      <c r="H11" s="296">
        <v>251000</v>
      </c>
      <c r="I11" s="296">
        <v>78000</v>
      </c>
      <c r="J11" s="296">
        <v>112000</v>
      </c>
      <c r="K11" s="296">
        <v>134000</v>
      </c>
      <c r="L11" s="296">
        <v>58000</v>
      </c>
      <c r="M11" s="296">
        <v>12300</v>
      </c>
      <c r="N11" s="296">
        <v>32000</v>
      </c>
      <c r="O11" s="296">
        <v>38000</v>
      </c>
      <c r="P11" s="296">
        <v>3137</v>
      </c>
      <c r="Q11" s="296">
        <v>26000</v>
      </c>
      <c r="R11" s="336">
        <f t="shared" si="0"/>
        <v>5100784</v>
      </c>
      <c r="S11" s="296">
        <f t="shared" si="1"/>
        <v>-78000</v>
      </c>
      <c r="T11" s="296">
        <f>+'WP 10a'!I11</f>
        <v>685906.2395218719</v>
      </c>
      <c r="U11" s="336">
        <f t="shared" si="2"/>
        <v>5708690.2395218723</v>
      </c>
      <c r="W11" s="337"/>
      <c r="Y11" s="337"/>
    </row>
    <row r="12" spans="1:25">
      <c r="B12" s="295">
        <v>2013</v>
      </c>
      <c r="C12" s="295">
        <v>4</v>
      </c>
      <c r="D12" s="295">
        <v>17</v>
      </c>
      <c r="E12" s="295">
        <v>1700</v>
      </c>
      <c r="F12" s="296">
        <v>2899385</v>
      </c>
      <c r="G12" s="296">
        <v>1098860</v>
      </c>
      <c r="H12" s="296">
        <v>251000</v>
      </c>
      <c r="I12" s="296">
        <v>78000</v>
      </c>
      <c r="J12" s="296">
        <v>155000</v>
      </c>
      <c r="K12" s="296">
        <v>151000</v>
      </c>
      <c r="L12" s="296">
        <v>57000</v>
      </c>
      <c r="M12" s="296">
        <v>12032</v>
      </c>
      <c r="N12" s="296">
        <v>45000</v>
      </c>
      <c r="O12" s="296">
        <v>40000</v>
      </c>
      <c r="P12" s="296">
        <v>2353</v>
      </c>
      <c r="Q12" s="296">
        <v>25000</v>
      </c>
      <c r="R12" s="336">
        <f t="shared" si="0"/>
        <v>4814630</v>
      </c>
      <c r="S12" s="296">
        <f t="shared" si="1"/>
        <v>-78000</v>
      </c>
      <c r="T12" s="296">
        <f>+'WP 10a'!I12</f>
        <v>691128.21317639702</v>
      </c>
      <c r="U12" s="336">
        <f t="shared" si="2"/>
        <v>5427758.2131763967</v>
      </c>
      <c r="W12" s="337"/>
      <c r="Y12" s="337"/>
    </row>
    <row r="13" spans="1:25">
      <c r="B13" s="295">
        <v>2013</v>
      </c>
      <c r="C13" s="295">
        <v>5</v>
      </c>
      <c r="D13" s="295">
        <v>20</v>
      </c>
      <c r="E13" s="295">
        <v>1600</v>
      </c>
      <c r="F13" s="296">
        <v>3163737</v>
      </c>
      <c r="G13" s="296">
        <v>893420</v>
      </c>
      <c r="H13" s="296">
        <v>251000</v>
      </c>
      <c r="I13" s="296">
        <v>78000</v>
      </c>
      <c r="J13" s="296">
        <v>176000</v>
      </c>
      <c r="K13" s="296">
        <v>154000</v>
      </c>
      <c r="L13" s="296">
        <v>69000</v>
      </c>
      <c r="M13" s="296">
        <v>11355</v>
      </c>
      <c r="N13" s="296">
        <v>49000</v>
      </c>
      <c r="O13" s="296">
        <v>48000</v>
      </c>
      <c r="P13" s="296">
        <v>2495</v>
      </c>
      <c r="Q13" s="296">
        <v>27000</v>
      </c>
      <c r="R13" s="336">
        <f t="shared" si="0"/>
        <v>4923007</v>
      </c>
      <c r="S13" s="296">
        <f t="shared" si="1"/>
        <v>-78000</v>
      </c>
      <c r="T13" s="296">
        <f>+'WP 10a'!I13</f>
        <v>691128.21317639702</v>
      </c>
      <c r="U13" s="336">
        <f t="shared" si="2"/>
        <v>5536135.2131763967</v>
      </c>
      <c r="W13" s="337"/>
      <c r="Y13" s="337"/>
    </row>
    <row r="14" spans="1:25">
      <c r="B14" s="295">
        <v>2013</v>
      </c>
      <c r="C14" s="295">
        <v>6</v>
      </c>
      <c r="D14" s="295">
        <v>27</v>
      </c>
      <c r="E14" s="295">
        <v>1700</v>
      </c>
      <c r="F14" s="296">
        <v>4497522</v>
      </c>
      <c r="G14" s="296">
        <v>1460150</v>
      </c>
      <c r="H14" s="296">
        <v>251000</v>
      </c>
      <c r="I14" s="296">
        <v>78000</v>
      </c>
      <c r="J14" s="296">
        <v>249000</v>
      </c>
      <c r="K14" s="296">
        <v>212000</v>
      </c>
      <c r="L14" s="296">
        <v>87000</v>
      </c>
      <c r="M14" s="296">
        <v>14659</v>
      </c>
      <c r="N14" s="296">
        <v>74000</v>
      </c>
      <c r="O14" s="296">
        <v>63000</v>
      </c>
      <c r="P14" s="296">
        <v>3769</v>
      </c>
      <c r="Q14" s="296">
        <v>33000</v>
      </c>
      <c r="R14" s="336">
        <f t="shared" si="0"/>
        <v>7023100</v>
      </c>
      <c r="S14" s="296">
        <f t="shared" si="1"/>
        <v>-78000</v>
      </c>
      <c r="T14" s="296">
        <f>+'WP 10a'!I14</f>
        <v>676506.68694372673</v>
      </c>
      <c r="U14" s="336">
        <f t="shared" si="2"/>
        <v>7621606.6869437266</v>
      </c>
      <c r="W14" s="337"/>
      <c r="Y14" s="337"/>
    </row>
    <row r="15" spans="1:25">
      <c r="B15" s="295">
        <v>2013</v>
      </c>
      <c r="C15" s="295">
        <v>7</v>
      </c>
      <c r="D15" s="295">
        <v>10</v>
      </c>
      <c r="E15" s="295">
        <v>1600</v>
      </c>
      <c r="F15" s="296">
        <v>4544135</v>
      </c>
      <c r="G15" s="296">
        <v>1612260</v>
      </c>
      <c r="H15" s="296">
        <v>251000</v>
      </c>
      <c r="I15" s="296">
        <v>78000</v>
      </c>
      <c r="J15" s="296">
        <v>230000</v>
      </c>
      <c r="K15" s="296">
        <v>203000</v>
      </c>
      <c r="L15" s="296">
        <v>82000</v>
      </c>
      <c r="M15" s="296">
        <v>15138</v>
      </c>
      <c r="N15" s="296">
        <v>72000</v>
      </c>
      <c r="O15" s="296">
        <v>54000</v>
      </c>
      <c r="P15" s="296">
        <v>4018</v>
      </c>
      <c r="Q15" s="296">
        <v>31000</v>
      </c>
      <c r="R15" s="336">
        <f t="shared" si="0"/>
        <v>7176551</v>
      </c>
      <c r="S15" s="296">
        <f t="shared" si="1"/>
        <v>-78000</v>
      </c>
      <c r="T15" s="296">
        <f>+'WP 10a'!I15</f>
        <v>676506.68694372673</v>
      </c>
      <c r="U15" s="336">
        <f t="shared" si="2"/>
        <v>7775057.6869437266</v>
      </c>
      <c r="W15" s="337"/>
      <c r="Y15" s="337"/>
    </row>
    <row r="16" spans="1:25">
      <c r="B16" s="295">
        <v>2013</v>
      </c>
      <c r="C16" s="295">
        <v>8</v>
      </c>
      <c r="D16" s="295">
        <v>8</v>
      </c>
      <c r="E16" s="295">
        <v>1700</v>
      </c>
      <c r="F16" s="296">
        <v>4329193</v>
      </c>
      <c r="G16" s="296">
        <v>1403240</v>
      </c>
      <c r="H16" s="296">
        <v>251000</v>
      </c>
      <c r="I16" s="296">
        <v>78000</v>
      </c>
      <c r="J16" s="296">
        <v>230000</v>
      </c>
      <c r="K16" s="296">
        <v>205000</v>
      </c>
      <c r="L16" s="296">
        <v>84000</v>
      </c>
      <c r="M16" s="296">
        <v>15017</v>
      </c>
      <c r="N16" s="296">
        <v>72000</v>
      </c>
      <c r="O16" s="296">
        <v>53000</v>
      </c>
      <c r="P16" s="296">
        <v>3035</v>
      </c>
      <c r="Q16" s="296">
        <v>30000</v>
      </c>
      <c r="R16" s="336">
        <f t="shared" si="0"/>
        <v>6753485</v>
      </c>
      <c r="S16" s="296">
        <f t="shared" si="1"/>
        <v>-78000</v>
      </c>
      <c r="T16" s="296">
        <f>+'WP 10a'!I16</f>
        <v>676506.68694372673</v>
      </c>
      <c r="U16" s="336">
        <f t="shared" si="2"/>
        <v>7351991.6869437266</v>
      </c>
      <c r="W16" s="337"/>
      <c r="Y16" s="337"/>
    </row>
    <row r="17" spans="1:25">
      <c r="B17" s="295">
        <v>2013</v>
      </c>
      <c r="C17" s="295">
        <v>9</v>
      </c>
      <c r="D17" s="295">
        <v>3</v>
      </c>
      <c r="E17" s="295">
        <v>1600</v>
      </c>
      <c r="F17" s="296">
        <v>4009254</v>
      </c>
      <c r="G17" s="296">
        <v>1510510</v>
      </c>
      <c r="H17" s="296">
        <v>251000</v>
      </c>
      <c r="I17" s="296">
        <v>78000</v>
      </c>
      <c r="J17" s="296">
        <v>207000</v>
      </c>
      <c r="K17" s="296">
        <v>189000</v>
      </c>
      <c r="L17" s="296">
        <v>76000</v>
      </c>
      <c r="M17" s="296">
        <v>13623</v>
      </c>
      <c r="N17" s="296">
        <v>63000</v>
      </c>
      <c r="O17" s="296">
        <v>51000</v>
      </c>
      <c r="P17" s="296">
        <v>3070</v>
      </c>
      <c r="Q17" s="296">
        <v>27000</v>
      </c>
      <c r="R17" s="336">
        <f t="shared" si="0"/>
        <v>6478457</v>
      </c>
      <c r="S17" s="296">
        <f t="shared" si="1"/>
        <v>-78000</v>
      </c>
      <c r="T17" s="296">
        <f>+'WP 10a'!I17</f>
        <v>676506.68694372673</v>
      </c>
      <c r="U17" s="336">
        <f t="shared" si="2"/>
        <v>7076963.6869437266</v>
      </c>
      <c r="W17" s="337"/>
      <c r="Y17" s="337"/>
    </row>
    <row r="18" spans="1:25">
      <c r="B18" s="295">
        <v>2013</v>
      </c>
      <c r="C18" s="295">
        <v>10</v>
      </c>
      <c r="D18" s="295">
        <v>3</v>
      </c>
      <c r="E18" s="295">
        <v>1600</v>
      </c>
      <c r="F18" s="296">
        <v>3509248</v>
      </c>
      <c r="G18" s="296">
        <v>1187860</v>
      </c>
      <c r="H18" s="296">
        <v>251000</v>
      </c>
      <c r="I18" s="296">
        <v>78000</v>
      </c>
      <c r="J18" s="296">
        <v>173000</v>
      </c>
      <c r="K18" s="296">
        <v>165000</v>
      </c>
      <c r="L18" s="296">
        <v>66000</v>
      </c>
      <c r="M18" s="296">
        <v>12009</v>
      </c>
      <c r="N18" s="296">
        <v>45000</v>
      </c>
      <c r="O18" s="296">
        <v>45000</v>
      </c>
      <c r="P18" s="296">
        <v>2422</v>
      </c>
      <c r="Q18" s="296">
        <v>27000</v>
      </c>
      <c r="R18" s="336">
        <f t="shared" si="0"/>
        <v>5561539</v>
      </c>
      <c r="S18" s="296">
        <f t="shared" si="1"/>
        <v>-78000</v>
      </c>
      <c r="T18" s="296">
        <f>+'WP 10a'!I18</f>
        <v>676506.68694372673</v>
      </c>
      <c r="U18" s="336">
        <f t="shared" si="2"/>
        <v>6160045.6869437266</v>
      </c>
      <c r="W18" s="337"/>
      <c r="Y18" s="337"/>
    </row>
    <row r="19" spans="1:25">
      <c r="B19" s="295">
        <v>2013</v>
      </c>
      <c r="C19" s="295">
        <v>11</v>
      </c>
      <c r="D19" s="295">
        <v>28</v>
      </c>
      <c r="E19" s="295">
        <v>900</v>
      </c>
      <c r="F19" s="296">
        <v>3171534</v>
      </c>
      <c r="G19" s="296">
        <v>1241610</v>
      </c>
      <c r="H19" s="296">
        <v>251000</v>
      </c>
      <c r="I19" s="296">
        <v>78000</v>
      </c>
      <c r="J19" s="296">
        <v>103000</v>
      </c>
      <c r="K19" s="296">
        <v>117000</v>
      </c>
      <c r="L19" s="296">
        <v>46000</v>
      </c>
      <c r="M19" s="296">
        <v>6924</v>
      </c>
      <c r="N19" s="296">
        <v>33000</v>
      </c>
      <c r="O19" s="296">
        <v>41000</v>
      </c>
      <c r="P19" s="296">
        <v>2908</v>
      </c>
      <c r="Q19" s="296">
        <v>18000</v>
      </c>
      <c r="R19" s="336">
        <f t="shared" si="0"/>
        <v>5109976</v>
      </c>
      <c r="S19" s="296">
        <f t="shared" si="1"/>
        <v>-78000</v>
      </c>
      <c r="T19" s="296">
        <f>+'WP 10a'!I19</f>
        <v>676506.68694372673</v>
      </c>
      <c r="U19" s="336">
        <f t="shared" si="2"/>
        <v>5708482.6869437266</v>
      </c>
      <c r="W19" s="337"/>
      <c r="Y19" s="337"/>
    </row>
    <row r="20" spans="1:25">
      <c r="B20" s="295">
        <v>2013</v>
      </c>
      <c r="C20" s="295">
        <v>12</v>
      </c>
      <c r="D20" s="295">
        <v>16</v>
      </c>
      <c r="E20" s="295">
        <v>800</v>
      </c>
      <c r="F20" s="297">
        <v>3175790</v>
      </c>
      <c r="G20" s="297">
        <v>1235990</v>
      </c>
      <c r="H20" s="297">
        <v>251000</v>
      </c>
      <c r="I20" s="297">
        <v>78000</v>
      </c>
      <c r="J20" s="297">
        <v>115000</v>
      </c>
      <c r="K20" s="297">
        <v>137000</v>
      </c>
      <c r="L20" s="297">
        <v>52000</v>
      </c>
      <c r="M20" s="297">
        <v>8628</v>
      </c>
      <c r="N20" s="297">
        <v>35000</v>
      </c>
      <c r="O20" s="297">
        <v>46000</v>
      </c>
      <c r="P20" s="297">
        <v>3269</v>
      </c>
      <c r="Q20" s="297">
        <v>28000</v>
      </c>
      <c r="R20" s="339">
        <f t="shared" si="0"/>
        <v>5165677</v>
      </c>
      <c r="S20" s="297">
        <f t="shared" si="1"/>
        <v>-78000</v>
      </c>
      <c r="T20" s="297">
        <f>+'WP 10a'!I20</f>
        <v>676506.68694372673</v>
      </c>
      <c r="U20" s="339">
        <f t="shared" si="2"/>
        <v>5764183.6869437266</v>
      </c>
      <c r="W20" s="337"/>
      <c r="Y20" s="337"/>
    </row>
    <row r="21" spans="1:25" ht="9" customHeight="1">
      <c r="S21" s="260"/>
      <c r="T21" s="260"/>
    </row>
    <row r="22" spans="1:25" ht="15" thickBot="1">
      <c r="D22" s="496" t="s">
        <v>40</v>
      </c>
      <c r="E22" s="496"/>
      <c r="F22" s="341">
        <f>SUM(F9:F20)</f>
        <v>42780577</v>
      </c>
      <c r="G22" s="341">
        <f t="shared" ref="G22:R22" si="3">SUM(G9:G20)</f>
        <v>15670480</v>
      </c>
      <c r="H22" s="341">
        <f t="shared" si="3"/>
        <v>3012000</v>
      </c>
      <c r="I22" s="341">
        <f>SUM(I9:I20)</f>
        <v>936000</v>
      </c>
      <c r="J22" s="341">
        <f t="shared" si="3"/>
        <v>1994000</v>
      </c>
      <c r="K22" s="341">
        <f t="shared" si="3"/>
        <v>1944000</v>
      </c>
      <c r="L22" s="341">
        <f t="shared" si="3"/>
        <v>789000</v>
      </c>
      <c r="M22" s="341">
        <f t="shared" si="3"/>
        <v>144585</v>
      </c>
      <c r="N22" s="341">
        <f t="shared" si="3"/>
        <v>592000</v>
      </c>
      <c r="O22" s="341">
        <f t="shared" si="3"/>
        <v>567000</v>
      </c>
      <c r="P22" s="341">
        <f t="shared" si="3"/>
        <v>36792</v>
      </c>
      <c r="Q22" s="341">
        <f t="shared" si="3"/>
        <v>326000</v>
      </c>
      <c r="R22" s="341">
        <f t="shared" si="3"/>
        <v>68792434</v>
      </c>
      <c r="S22" s="425">
        <f>SUM(S9:S20)</f>
        <v>-936000</v>
      </c>
      <c r="T22" s="425">
        <f t="shared" ref="T22:U22" si="4">SUM(T9:T20)</f>
        <v>8175521.9535244964</v>
      </c>
      <c r="U22" s="425">
        <f t="shared" si="4"/>
        <v>76031955.953524485</v>
      </c>
      <c r="V22" s="337"/>
      <c r="W22" s="337"/>
    </row>
    <row r="23" spans="1:25" ht="14.4" thickTop="1" thickBot="1">
      <c r="E23" s="340"/>
      <c r="F23" s="342"/>
      <c r="G23" s="342"/>
      <c r="H23" s="342"/>
      <c r="I23" s="342"/>
      <c r="J23" s="342"/>
      <c r="K23" s="342"/>
      <c r="L23" s="342"/>
      <c r="M23" s="342"/>
      <c r="N23" s="342"/>
      <c r="O23" s="342"/>
      <c r="P23" s="342"/>
      <c r="Q23" s="342"/>
      <c r="R23" s="342"/>
      <c r="S23" s="342"/>
      <c r="T23" s="342"/>
      <c r="U23" s="342"/>
      <c r="V23" s="337"/>
      <c r="W23" s="337"/>
    </row>
    <row r="24" spans="1:25" ht="15" customHeight="1" thickBot="1">
      <c r="C24" s="496" t="s">
        <v>674</v>
      </c>
      <c r="D24" s="496"/>
      <c r="E24" s="496"/>
      <c r="F24" s="342">
        <f>SUM(F9:F20)/12</f>
        <v>3565048.0833333335</v>
      </c>
      <c r="G24" s="342">
        <f t="shared" ref="G24:R24" si="5">SUM(G9:G20)/12</f>
        <v>1305873.3333333333</v>
      </c>
      <c r="H24" s="342">
        <f t="shared" si="5"/>
        <v>251000</v>
      </c>
      <c r="I24" s="342">
        <f>SUM(I9:I20)/12</f>
        <v>78000</v>
      </c>
      <c r="J24" s="342">
        <f t="shared" si="5"/>
        <v>166166.66666666666</v>
      </c>
      <c r="K24" s="342">
        <f t="shared" si="5"/>
        <v>162000</v>
      </c>
      <c r="L24" s="342">
        <f t="shared" si="5"/>
        <v>65750</v>
      </c>
      <c r="M24" s="342">
        <f t="shared" si="5"/>
        <v>12048.75</v>
      </c>
      <c r="N24" s="342">
        <f t="shared" si="5"/>
        <v>49333.333333333336</v>
      </c>
      <c r="O24" s="342">
        <f t="shared" si="5"/>
        <v>47250</v>
      </c>
      <c r="P24" s="342">
        <f t="shared" si="5"/>
        <v>3066</v>
      </c>
      <c r="Q24" s="342">
        <f t="shared" si="5"/>
        <v>27166.666666666668</v>
      </c>
      <c r="R24" s="343">
        <f t="shared" si="5"/>
        <v>5732702.833333333</v>
      </c>
      <c r="S24" s="342"/>
      <c r="T24" s="342"/>
      <c r="U24" s="342"/>
      <c r="V24" s="337"/>
      <c r="W24" s="337"/>
      <c r="Y24" s="337"/>
    </row>
    <row r="25" spans="1:25">
      <c r="E25" s="340"/>
      <c r="F25" s="342"/>
      <c r="G25" s="342"/>
      <c r="H25" s="342"/>
      <c r="I25" s="342"/>
      <c r="J25" s="342"/>
      <c r="K25" s="342"/>
      <c r="L25" s="342"/>
      <c r="M25" s="342"/>
      <c r="N25" s="342"/>
      <c r="O25" s="342"/>
      <c r="P25" s="342"/>
      <c r="Q25" s="342"/>
      <c r="R25" s="342"/>
      <c r="S25" s="342"/>
      <c r="T25" s="342"/>
      <c r="U25" s="342"/>
      <c r="V25" s="337"/>
      <c r="W25" s="337"/>
    </row>
    <row r="26" spans="1:25" s="329" customFormat="1">
      <c r="A26" s="452" t="s">
        <v>712</v>
      </c>
      <c r="E26" s="344"/>
      <c r="F26" s="345"/>
      <c r="G26" s="345"/>
      <c r="H26" s="345"/>
      <c r="I26" s="345"/>
      <c r="J26" s="345"/>
      <c r="K26" s="345"/>
      <c r="L26" s="345"/>
      <c r="M26" s="345"/>
      <c r="N26" s="345"/>
      <c r="O26" s="345"/>
      <c r="P26" s="345"/>
      <c r="Q26" s="345"/>
      <c r="R26" s="345"/>
      <c r="S26" s="345"/>
      <c r="T26" s="345"/>
      <c r="U26" s="345"/>
      <c r="W26" s="337"/>
    </row>
    <row r="27" spans="1:25">
      <c r="A27" s="453" t="s">
        <v>14</v>
      </c>
      <c r="B27" s="330" t="s">
        <v>739</v>
      </c>
    </row>
    <row r="28" spans="1:25">
      <c r="A28" s="453" t="s">
        <v>141</v>
      </c>
      <c r="B28" s="330" t="s">
        <v>741</v>
      </c>
    </row>
    <row r="29" spans="1:25">
      <c r="A29" s="453" t="s">
        <v>647</v>
      </c>
      <c r="B29" s="330" t="s">
        <v>738</v>
      </c>
    </row>
    <row r="31" spans="1:25">
      <c r="B31" s="330" t="s">
        <v>646</v>
      </c>
    </row>
  </sheetData>
  <mergeCells count="5">
    <mergeCell ref="C24:E24"/>
    <mergeCell ref="D22:E22"/>
    <mergeCell ref="A3:U3"/>
    <mergeCell ref="A4:U4"/>
    <mergeCell ref="A5:U5"/>
  </mergeCells>
  <pageMargins left="0.7" right="0.7" top="0.75" bottom="0.71" header="0.3" footer="0.3"/>
  <pageSetup scale="62" orientation="landscape" r:id="rId1"/>
  <headerFooter>
    <oddFooter>&amp;RWP 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4"/>
  <sheetViews>
    <sheetView topLeftCell="A13" workbookViewId="0"/>
  </sheetViews>
  <sheetFormatPr defaultRowHeight="13.2"/>
  <cols>
    <col min="1" max="1" width="7.33203125" style="330" bestFit="1" customWidth="1"/>
    <col min="2" max="2" width="5" style="330" bestFit="1" customWidth="1"/>
    <col min="3" max="4" width="3.33203125" style="330" bestFit="1" customWidth="1"/>
    <col min="5" max="5" width="5" style="330" bestFit="1" customWidth="1"/>
    <col min="6" max="6" width="9" style="330" customWidth="1"/>
    <col min="7" max="7" width="11.88671875" style="330" bestFit="1" customWidth="1"/>
    <col min="8" max="14" width="14.33203125" style="330" customWidth="1"/>
    <col min="15" max="16" width="11.6640625" style="329" bestFit="1" customWidth="1"/>
    <col min="17" max="17" width="8.88671875" style="329"/>
    <col min="18" max="18" width="10.33203125" style="329" bestFit="1" customWidth="1"/>
    <col min="19" max="19" width="8.88671875" style="329"/>
    <col min="20" max="251" width="8.88671875" style="330"/>
    <col min="252" max="252" width="9.5546875" style="330" bestFit="1" customWidth="1"/>
    <col min="253" max="254" width="3.5546875" style="330" bestFit="1" customWidth="1"/>
    <col min="255" max="255" width="5.5546875" style="330" bestFit="1" customWidth="1"/>
    <col min="256" max="257" width="10.6640625" style="330" bestFit="1" customWidth="1"/>
    <col min="258" max="258" width="9.6640625" style="330" bestFit="1" customWidth="1"/>
    <col min="259" max="259" width="9.6640625" style="330" customWidth="1"/>
    <col min="260" max="261" width="9.6640625" style="330" bestFit="1" customWidth="1"/>
    <col min="262" max="262" width="8.109375" style="330" bestFit="1" customWidth="1"/>
    <col min="263" max="267" width="9.33203125" style="330" bestFit="1" customWidth="1"/>
    <col min="268" max="268" width="10.6640625" style="330" bestFit="1" customWidth="1"/>
    <col min="269" max="270" width="10.6640625" style="330" customWidth="1"/>
    <col min="271" max="272" width="11.6640625" style="330" bestFit="1" customWidth="1"/>
    <col min="273" max="273" width="8.88671875" style="330"/>
    <col min="274" max="274" width="10.33203125" style="330" bestFit="1" customWidth="1"/>
    <col min="275" max="507" width="8.88671875" style="330"/>
    <col min="508" max="508" width="9.5546875" style="330" bestFit="1" customWidth="1"/>
    <col min="509" max="510" width="3.5546875" style="330" bestFit="1" customWidth="1"/>
    <col min="511" max="511" width="5.5546875" style="330" bestFit="1" customWidth="1"/>
    <col min="512" max="513" width="10.6640625" style="330" bestFit="1" customWidth="1"/>
    <col min="514" max="514" width="9.6640625" style="330" bestFit="1" customWidth="1"/>
    <col min="515" max="515" width="9.6640625" style="330" customWidth="1"/>
    <col min="516" max="517" width="9.6640625" style="330" bestFit="1" customWidth="1"/>
    <col min="518" max="518" width="8.109375" style="330" bestFit="1" customWidth="1"/>
    <col min="519" max="523" width="9.33203125" style="330" bestFit="1" customWidth="1"/>
    <col min="524" max="524" width="10.6640625" style="330" bestFit="1" customWidth="1"/>
    <col min="525" max="526" width="10.6640625" style="330" customWidth="1"/>
    <col min="527" max="528" width="11.6640625" style="330" bestFit="1" customWidth="1"/>
    <col min="529" max="529" width="8.88671875" style="330"/>
    <col min="530" max="530" width="10.33203125" style="330" bestFit="1" customWidth="1"/>
    <col min="531" max="763" width="8.88671875" style="330"/>
    <col min="764" max="764" width="9.5546875" style="330" bestFit="1" customWidth="1"/>
    <col min="765" max="766" width="3.5546875" style="330" bestFit="1" customWidth="1"/>
    <col min="767" max="767" width="5.5546875" style="330" bestFit="1" customWidth="1"/>
    <col min="768" max="769" width="10.6640625" style="330" bestFit="1" customWidth="1"/>
    <col min="770" max="770" width="9.6640625" style="330" bestFit="1" customWidth="1"/>
    <col min="771" max="771" width="9.6640625" style="330" customWidth="1"/>
    <col min="772" max="773" width="9.6640625" style="330" bestFit="1" customWidth="1"/>
    <col min="774" max="774" width="8.109375" style="330" bestFit="1" customWidth="1"/>
    <col min="775" max="779" width="9.33203125" style="330" bestFit="1" customWidth="1"/>
    <col min="780" max="780" width="10.6640625" style="330" bestFit="1" customWidth="1"/>
    <col min="781" max="782" width="10.6640625" style="330" customWidth="1"/>
    <col min="783" max="784" width="11.6640625" style="330" bestFit="1" customWidth="1"/>
    <col min="785" max="785" width="8.88671875" style="330"/>
    <col min="786" max="786" width="10.33203125" style="330" bestFit="1" customWidth="1"/>
    <col min="787" max="1019" width="8.88671875" style="330"/>
    <col min="1020" max="1020" width="9.5546875" style="330" bestFit="1" customWidth="1"/>
    <col min="1021" max="1022" width="3.5546875" style="330" bestFit="1" customWidth="1"/>
    <col min="1023" max="1023" width="5.5546875" style="330" bestFit="1" customWidth="1"/>
    <col min="1024" max="1025" width="10.6640625" style="330" bestFit="1" customWidth="1"/>
    <col min="1026" max="1026" width="9.6640625" style="330" bestFit="1" customWidth="1"/>
    <col min="1027" max="1027" width="9.6640625" style="330" customWidth="1"/>
    <col min="1028" max="1029" width="9.6640625" style="330" bestFit="1" customWidth="1"/>
    <col min="1030" max="1030" width="8.109375" style="330" bestFit="1" customWidth="1"/>
    <col min="1031" max="1035" width="9.33203125" style="330" bestFit="1" customWidth="1"/>
    <col min="1036" max="1036" width="10.6640625" style="330" bestFit="1" customWidth="1"/>
    <col min="1037" max="1038" width="10.6640625" style="330" customWidth="1"/>
    <col min="1039" max="1040" width="11.6640625" style="330" bestFit="1" customWidth="1"/>
    <col min="1041" max="1041" width="8.88671875" style="330"/>
    <col min="1042" max="1042" width="10.33203125" style="330" bestFit="1" customWidth="1"/>
    <col min="1043" max="1275" width="8.88671875" style="330"/>
    <col min="1276" max="1276" width="9.5546875" style="330" bestFit="1" customWidth="1"/>
    <col min="1277" max="1278" width="3.5546875" style="330" bestFit="1" customWidth="1"/>
    <col min="1279" max="1279" width="5.5546875" style="330" bestFit="1" customWidth="1"/>
    <col min="1280" max="1281" width="10.6640625" style="330" bestFit="1" customWidth="1"/>
    <col min="1282" max="1282" width="9.6640625" style="330" bestFit="1" customWidth="1"/>
    <col min="1283" max="1283" width="9.6640625" style="330" customWidth="1"/>
    <col min="1284" max="1285" width="9.6640625" style="330" bestFit="1" customWidth="1"/>
    <col min="1286" max="1286" width="8.109375" style="330" bestFit="1" customWidth="1"/>
    <col min="1287" max="1291" width="9.33203125" style="330" bestFit="1" customWidth="1"/>
    <col min="1292" max="1292" width="10.6640625" style="330" bestFit="1" customWidth="1"/>
    <col min="1293" max="1294" width="10.6640625" style="330" customWidth="1"/>
    <col min="1295" max="1296" width="11.6640625" style="330" bestFit="1" customWidth="1"/>
    <col min="1297" max="1297" width="8.88671875" style="330"/>
    <col min="1298" max="1298" width="10.33203125" style="330" bestFit="1" customWidth="1"/>
    <col min="1299" max="1531" width="8.88671875" style="330"/>
    <col min="1532" max="1532" width="9.5546875" style="330" bestFit="1" customWidth="1"/>
    <col min="1533" max="1534" width="3.5546875" style="330" bestFit="1" customWidth="1"/>
    <col min="1535" max="1535" width="5.5546875" style="330" bestFit="1" customWidth="1"/>
    <col min="1536" max="1537" width="10.6640625" style="330" bestFit="1" customWidth="1"/>
    <col min="1538" max="1538" width="9.6640625" style="330" bestFit="1" customWidth="1"/>
    <col min="1539" max="1539" width="9.6640625" style="330" customWidth="1"/>
    <col min="1540" max="1541" width="9.6640625" style="330" bestFit="1" customWidth="1"/>
    <col min="1542" max="1542" width="8.109375" style="330" bestFit="1" customWidth="1"/>
    <col min="1543" max="1547" width="9.33203125" style="330" bestFit="1" customWidth="1"/>
    <col min="1548" max="1548" width="10.6640625" style="330" bestFit="1" customWidth="1"/>
    <col min="1549" max="1550" width="10.6640625" style="330" customWidth="1"/>
    <col min="1551" max="1552" width="11.6640625" style="330" bestFit="1" customWidth="1"/>
    <col min="1553" max="1553" width="8.88671875" style="330"/>
    <col min="1554" max="1554" width="10.33203125" style="330" bestFit="1" customWidth="1"/>
    <col min="1555" max="1787" width="8.88671875" style="330"/>
    <col min="1788" max="1788" width="9.5546875" style="330" bestFit="1" customWidth="1"/>
    <col min="1789" max="1790" width="3.5546875" style="330" bestFit="1" customWidth="1"/>
    <col min="1791" max="1791" width="5.5546875" style="330" bestFit="1" customWidth="1"/>
    <col min="1792" max="1793" width="10.6640625" style="330" bestFit="1" customWidth="1"/>
    <col min="1794" max="1794" width="9.6640625" style="330" bestFit="1" customWidth="1"/>
    <col min="1795" max="1795" width="9.6640625" style="330" customWidth="1"/>
    <col min="1796" max="1797" width="9.6640625" style="330" bestFit="1" customWidth="1"/>
    <col min="1798" max="1798" width="8.109375" style="330" bestFit="1" customWidth="1"/>
    <col min="1799" max="1803" width="9.33203125" style="330" bestFit="1" customWidth="1"/>
    <col min="1804" max="1804" width="10.6640625" style="330" bestFit="1" customWidth="1"/>
    <col min="1805" max="1806" width="10.6640625" style="330" customWidth="1"/>
    <col min="1807" max="1808" width="11.6640625" style="330" bestFit="1" customWidth="1"/>
    <col min="1809" max="1809" width="8.88671875" style="330"/>
    <col min="1810" max="1810" width="10.33203125" style="330" bestFit="1" customWidth="1"/>
    <col min="1811" max="2043" width="8.88671875" style="330"/>
    <col min="2044" max="2044" width="9.5546875" style="330" bestFit="1" customWidth="1"/>
    <col min="2045" max="2046" width="3.5546875" style="330" bestFit="1" customWidth="1"/>
    <col min="2047" max="2047" width="5.5546875" style="330" bestFit="1" customWidth="1"/>
    <col min="2048" max="2049" width="10.6640625" style="330" bestFit="1" customWidth="1"/>
    <col min="2050" max="2050" width="9.6640625" style="330" bestFit="1" customWidth="1"/>
    <col min="2051" max="2051" width="9.6640625" style="330" customWidth="1"/>
    <col min="2052" max="2053" width="9.6640625" style="330" bestFit="1" customWidth="1"/>
    <col min="2054" max="2054" width="8.109375" style="330" bestFit="1" customWidth="1"/>
    <col min="2055" max="2059" width="9.33203125" style="330" bestFit="1" customWidth="1"/>
    <col min="2060" max="2060" width="10.6640625" style="330" bestFit="1" customWidth="1"/>
    <col min="2061" max="2062" width="10.6640625" style="330" customWidth="1"/>
    <col min="2063" max="2064" width="11.6640625" style="330" bestFit="1" customWidth="1"/>
    <col min="2065" max="2065" width="8.88671875" style="330"/>
    <col min="2066" max="2066" width="10.33203125" style="330" bestFit="1" customWidth="1"/>
    <col min="2067" max="2299" width="8.88671875" style="330"/>
    <col min="2300" max="2300" width="9.5546875" style="330" bestFit="1" customWidth="1"/>
    <col min="2301" max="2302" width="3.5546875" style="330" bestFit="1" customWidth="1"/>
    <col min="2303" max="2303" width="5.5546875" style="330" bestFit="1" customWidth="1"/>
    <col min="2304" max="2305" width="10.6640625" style="330" bestFit="1" customWidth="1"/>
    <col min="2306" max="2306" width="9.6640625" style="330" bestFit="1" customWidth="1"/>
    <col min="2307" max="2307" width="9.6640625" style="330" customWidth="1"/>
    <col min="2308" max="2309" width="9.6640625" style="330" bestFit="1" customWidth="1"/>
    <col min="2310" max="2310" width="8.109375" style="330" bestFit="1" customWidth="1"/>
    <col min="2311" max="2315" width="9.33203125" style="330" bestFit="1" customWidth="1"/>
    <col min="2316" max="2316" width="10.6640625" style="330" bestFit="1" customWidth="1"/>
    <col min="2317" max="2318" width="10.6640625" style="330" customWidth="1"/>
    <col min="2319" max="2320" width="11.6640625" style="330" bestFit="1" customWidth="1"/>
    <col min="2321" max="2321" width="8.88671875" style="330"/>
    <col min="2322" max="2322" width="10.33203125" style="330" bestFit="1" customWidth="1"/>
    <col min="2323" max="2555" width="8.88671875" style="330"/>
    <col min="2556" max="2556" width="9.5546875" style="330" bestFit="1" customWidth="1"/>
    <col min="2557" max="2558" width="3.5546875" style="330" bestFit="1" customWidth="1"/>
    <col min="2559" max="2559" width="5.5546875" style="330" bestFit="1" customWidth="1"/>
    <col min="2560" max="2561" width="10.6640625" style="330" bestFit="1" customWidth="1"/>
    <col min="2562" max="2562" width="9.6640625" style="330" bestFit="1" customWidth="1"/>
    <col min="2563" max="2563" width="9.6640625" style="330" customWidth="1"/>
    <col min="2564" max="2565" width="9.6640625" style="330" bestFit="1" customWidth="1"/>
    <col min="2566" max="2566" width="8.109375" style="330" bestFit="1" customWidth="1"/>
    <col min="2567" max="2571" width="9.33203125" style="330" bestFit="1" customWidth="1"/>
    <col min="2572" max="2572" width="10.6640625" style="330" bestFit="1" customWidth="1"/>
    <col min="2573" max="2574" width="10.6640625" style="330" customWidth="1"/>
    <col min="2575" max="2576" width="11.6640625" style="330" bestFit="1" customWidth="1"/>
    <col min="2577" max="2577" width="8.88671875" style="330"/>
    <col min="2578" max="2578" width="10.33203125" style="330" bestFit="1" customWidth="1"/>
    <col min="2579" max="2811" width="8.88671875" style="330"/>
    <col min="2812" max="2812" width="9.5546875" style="330" bestFit="1" customWidth="1"/>
    <col min="2813" max="2814" width="3.5546875" style="330" bestFit="1" customWidth="1"/>
    <col min="2815" max="2815" width="5.5546875" style="330" bestFit="1" customWidth="1"/>
    <col min="2816" max="2817" width="10.6640625" style="330" bestFit="1" customWidth="1"/>
    <col min="2818" max="2818" width="9.6640625" style="330" bestFit="1" customWidth="1"/>
    <col min="2819" max="2819" width="9.6640625" style="330" customWidth="1"/>
    <col min="2820" max="2821" width="9.6640625" style="330" bestFit="1" customWidth="1"/>
    <col min="2822" max="2822" width="8.109375" style="330" bestFit="1" customWidth="1"/>
    <col min="2823" max="2827" width="9.33203125" style="330" bestFit="1" customWidth="1"/>
    <col min="2828" max="2828" width="10.6640625" style="330" bestFit="1" customWidth="1"/>
    <col min="2829" max="2830" width="10.6640625" style="330" customWidth="1"/>
    <col min="2831" max="2832" width="11.6640625" style="330" bestFit="1" customWidth="1"/>
    <col min="2833" max="2833" width="8.88671875" style="330"/>
    <col min="2834" max="2834" width="10.33203125" style="330" bestFit="1" customWidth="1"/>
    <col min="2835" max="3067" width="8.88671875" style="330"/>
    <col min="3068" max="3068" width="9.5546875" style="330" bestFit="1" customWidth="1"/>
    <col min="3069" max="3070" width="3.5546875" style="330" bestFit="1" customWidth="1"/>
    <col min="3071" max="3071" width="5.5546875" style="330" bestFit="1" customWidth="1"/>
    <col min="3072" max="3073" width="10.6640625" style="330" bestFit="1" customWidth="1"/>
    <col min="3074" max="3074" width="9.6640625" style="330" bestFit="1" customWidth="1"/>
    <col min="3075" max="3075" width="9.6640625" style="330" customWidth="1"/>
    <col min="3076" max="3077" width="9.6640625" style="330" bestFit="1" customWidth="1"/>
    <col min="3078" max="3078" width="8.109375" style="330" bestFit="1" customWidth="1"/>
    <col min="3079" max="3083" width="9.33203125" style="330" bestFit="1" customWidth="1"/>
    <col min="3084" max="3084" width="10.6640625" style="330" bestFit="1" customWidth="1"/>
    <col min="3085" max="3086" width="10.6640625" style="330" customWidth="1"/>
    <col min="3087" max="3088" width="11.6640625" style="330" bestFit="1" customWidth="1"/>
    <col min="3089" max="3089" width="8.88671875" style="330"/>
    <col min="3090" max="3090" width="10.33203125" style="330" bestFit="1" customWidth="1"/>
    <col min="3091" max="3323" width="8.88671875" style="330"/>
    <col min="3324" max="3324" width="9.5546875" style="330" bestFit="1" customWidth="1"/>
    <col min="3325" max="3326" width="3.5546875" style="330" bestFit="1" customWidth="1"/>
    <col min="3327" max="3327" width="5.5546875" style="330" bestFit="1" customWidth="1"/>
    <col min="3328" max="3329" width="10.6640625" style="330" bestFit="1" customWidth="1"/>
    <col min="3330" max="3330" width="9.6640625" style="330" bestFit="1" customWidth="1"/>
    <col min="3331" max="3331" width="9.6640625" style="330" customWidth="1"/>
    <col min="3332" max="3333" width="9.6640625" style="330" bestFit="1" customWidth="1"/>
    <col min="3334" max="3334" width="8.109375" style="330" bestFit="1" customWidth="1"/>
    <col min="3335" max="3339" width="9.33203125" style="330" bestFit="1" customWidth="1"/>
    <col min="3340" max="3340" width="10.6640625" style="330" bestFit="1" customWidth="1"/>
    <col min="3341" max="3342" width="10.6640625" style="330" customWidth="1"/>
    <col min="3343" max="3344" width="11.6640625" style="330" bestFit="1" customWidth="1"/>
    <col min="3345" max="3345" width="8.88671875" style="330"/>
    <col min="3346" max="3346" width="10.33203125" style="330" bestFit="1" customWidth="1"/>
    <col min="3347" max="3579" width="8.88671875" style="330"/>
    <col min="3580" max="3580" width="9.5546875" style="330" bestFit="1" customWidth="1"/>
    <col min="3581" max="3582" width="3.5546875" style="330" bestFit="1" customWidth="1"/>
    <col min="3583" max="3583" width="5.5546875" style="330" bestFit="1" customWidth="1"/>
    <col min="3584" max="3585" width="10.6640625" style="330" bestFit="1" customWidth="1"/>
    <col min="3586" max="3586" width="9.6640625" style="330" bestFit="1" customWidth="1"/>
    <col min="3587" max="3587" width="9.6640625" style="330" customWidth="1"/>
    <col min="3588" max="3589" width="9.6640625" style="330" bestFit="1" customWidth="1"/>
    <col min="3590" max="3590" width="8.109375" style="330" bestFit="1" customWidth="1"/>
    <col min="3591" max="3595" width="9.33203125" style="330" bestFit="1" customWidth="1"/>
    <col min="3596" max="3596" width="10.6640625" style="330" bestFit="1" customWidth="1"/>
    <col min="3597" max="3598" width="10.6640625" style="330" customWidth="1"/>
    <col min="3599" max="3600" width="11.6640625" style="330" bestFit="1" customWidth="1"/>
    <col min="3601" max="3601" width="8.88671875" style="330"/>
    <col min="3602" max="3602" width="10.33203125" style="330" bestFit="1" customWidth="1"/>
    <col min="3603" max="3835" width="8.88671875" style="330"/>
    <col min="3836" max="3836" width="9.5546875" style="330" bestFit="1" customWidth="1"/>
    <col min="3837" max="3838" width="3.5546875" style="330" bestFit="1" customWidth="1"/>
    <col min="3839" max="3839" width="5.5546875" style="330" bestFit="1" customWidth="1"/>
    <col min="3840" max="3841" width="10.6640625" style="330" bestFit="1" customWidth="1"/>
    <col min="3842" max="3842" width="9.6640625" style="330" bestFit="1" customWidth="1"/>
    <col min="3843" max="3843" width="9.6640625" style="330" customWidth="1"/>
    <col min="3844" max="3845" width="9.6640625" style="330" bestFit="1" customWidth="1"/>
    <col min="3846" max="3846" width="8.109375" style="330" bestFit="1" customWidth="1"/>
    <col min="3847" max="3851" width="9.33203125" style="330" bestFit="1" customWidth="1"/>
    <col min="3852" max="3852" width="10.6640625" style="330" bestFit="1" customWidth="1"/>
    <col min="3853" max="3854" width="10.6640625" style="330" customWidth="1"/>
    <col min="3855" max="3856" width="11.6640625" style="330" bestFit="1" customWidth="1"/>
    <col min="3857" max="3857" width="8.88671875" style="330"/>
    <col min="3858" max="3858" width="10.33203125" style="330" bestFit="1" customWidth="1"/>
    <col min="3859" max="4091" width="8.88671875" style="330"/>
    <col min="4092" max="4092" width="9.5546875" style="330" bestFit="1" customWidth="1"/>
    <col min="4093" max="4094" width="3.5546875" style="330" bestFit="1" customWidth="1"/>
    <col min="4095" max="4095" width="5.5546875" style="330" bestFit="1" customWidth="1"/>
    <col min="4096" max="4097" width="10.6640625" style="330" bestFit="1" customWidth="1"/>
    <col min="4098" max="4098" width="9.6640625" style="330" bestFit="1" customWidth="1"/>
    <col min="4099" max="4099" width="9.6640625" style="330" customWidth="1"/>
    <col min="4100" max="4101" width="9.6640625" style="330" bestFit="1" customWidth="1"/>
    <col min="4102" max="4102" width="8.109375" style="330" bestFit="1" customWidth="1"/>
    <col min="4103" max="4107" width="9.33203125" style="330" bestFit="1" customWidth="1"/>
    <col min="4108" max="4108" width="10.6640625" style="330" bestFit="1" customWidth="1"/>
    <col min="4109" max="4110" width="10.6640625" style="330" customWidth="1"/>
    <col min="4111" max="4112" width="11.6640625" style="330" bestFit="1" customWidth="1"/>
    <col min="4113" max="4113" width="8.88671875" style="330"/>
    <col min="4114" max="4114" width="10.33203125" style="330" bestFit="1" customWidth="1"/>
    <col min="4115" max="4347" width="8.88671875" style="330"/>
    <col min="4348" max="4348" width="9.5546875" style="330" bestFit="1" customWidth="1"/>
    <col min="4349" max="4350" width="3.5546875" style="330" bestFit="1" customWidth="1"/>
    <col min="4351" max="4351" width="5.5546875" style="330" bestFit="1" customWidth="1"/>
    <col min="4352" max="4353" width="10.6640625" style="330" bestFit="1" customWidth="1"/>
    <col min="4354" max="4354" width="9.6640625" style="330" bestFit="1" customWidth="1"/>
    <col min="4355" max="4355" width="9.6640625" style="330" customWidth="1"/>
    <col min="4356" max="4357" width="9.6640625" style="330" bestFit="1" customWidth="1"/>
    <col min="4358" max="4358" width="8.109375" style="330" bestFit="1" customWidth="1"/>
    <col min="4359" max="4363" width="9.33203125" style="330" bestFit="1" customWidth="1"/>
    <col min="4364" max="4364" width="10.6640625" style="330" bestFit="1" customWidth="1"/>
    <col min="4365" max="4366" width="10.6640625" style="330" customWidth="1"/>
    <col min="4367" max="4368" width="11.6640625" style="330" bestFit="1" customWidth="1"/>
    <col min="4369" max="4369" width="8.88671875" style="330"/>
    <col min="4370" max="4370" width="10.33203125" style="330" bestFit="1" customWidth="1"/>
    <col min="4371" max="4603" width="8.88671875" style="330"/>
    <col min="4604" max="4604" width="9.5546875" style="330" bestFit="1" customWidth="1"/>
    <col min="4605" max="4606" width="3.5546875" style="330" bestFit="1" customWidth="1"/>
    <col min="4607" max="4607" width="5.5546875" style="330" bestFit="1" customWidth="1"/>
    <col min="4608" max="4609" width="10.6640625" style="330" bestFit="1" customWidth="1"/>
    <col min="4610" max="4610" width="9.6640625" style="330" bestFit="1" customWidth="1"/>
    <col min="4611" max="4611" width="9.6640625" style="330" customWidth="1"/>
    <col min="4612" max="4613" width="9.6640625" style="330" bestFit="1" customWidth="1"/>
    <col min="4614" max="4614" width="8.109375" style="330" bestFit="1" customWidth="1"/>
    <col min="4615" max="4619" width="9.33203125" style="330" bestFit="1" customWidth="1"/>
    <col min="4620" max="4620" width="10.6640625" style="330" bestFit="1" customWidth="1"/>
    <col min="4621" max="4622" width="10.6640625" style="330" customWidth="1"/>
    <col min="4623" max="4624" width="11.6640625" style="330" bestFit="1" customWidth="1"/>
    <col min="4625" max="4625" width="8.88671875" style="330"/>
    <col min="4626" max="4626" width="10.33203125" style="330" bestFit="1" customWidth="1"/>
    <col min="4627" max="4859" width="8.88671875" style="330"/>
    <col min="4860" max="4860" width="9.5546875" style="330" bestFit="1" customWidth="1"/>
    <col min="4861" max="4862" width="3.5546875" style="330" bestFit="1" customWidth="1"/>
    <col min="4863" max="4863" width="5.5546875" style="330" bestFit="1" customWidth="1"/>
    <col min="4864" max="4865" width="10.6640625" style="330" bestFit="1" customWidth="1"/>
    <col min="4866" max="4866" width="9.6640625" style="330" bestFit="1" customWidth="1"/>
    <col min="4867" max="4867" width="9.6640625" style="330" customWidth="1"/>
    <col min="4868" max="4869" width="9.6640625" style="330" bestFit="1" customWidth="1"/>
    <col min="4870" max="4870" width="8.109375" style="330" bestFit="1" customWidth="1"/>
    <col min="4871" max="4875" width="9.33203125" style="330" bestFit="1" customWidth="1"/>
    <col min="4876" max="4876" width="10.6640625" style="330" bestFit="1" customWidth="1"/>
    <col min="4877" max="4878" width="10.6640625" style="330" customWidth="1"/>
    <col min="4879" max="4880" width="11.6640625" style="330" bestFit="1" customWidth="1"/>
    <col min="4881" max="4881" width="8.88671875" style="330"/>
    <col min="4882" max="4882" width="10.33203125" style="330" bestFit="1" customWidth="1"/>
    <col min="4883" max="5115" width="8.88671875" style="330"/>
    <col min="5116" max="5116" width="9.5546875" style="330" bestFit="1" customWidth="1"/>
    <col min="5117" max="5118" width="3.5546875" style="330" bestFit="1" customWidth="1"/>
    <col min="5119" max="5119" width="5.5546875" style="330" bestFit="1" customWidth="1"/>
    <col min="5120" max="5121" width="10.6640625" style="330" bestFit="1" customWidth="1"/>
    <col min="5122" max="5122" width="9.6640625" style="330" bestFit="1" customWidth="1"/>
    <col min="5123" max="5123" width="9.6640625" style="330" customWidth="1"/>
    <col min="5124" max="5125" width="9.6640625" style="330" bestFit="1" customWidth="1"/>
    <col min="5126" max="5126" width="8.109375" style="330" bestFit="1" customWidth="1"/>
    <col min="5127" max="5131" width="9.33203125" style="330" bestFit="1" customWidth="1"/>
    <col min="5132" max="5132" width="10.6640625" style="330" bestFit="1" customWidth="1"/>
    <col min="5133" max="5134" width="10.6640625" style="330" customWidth="1"/>
    <col min="5135" max="5136" width="11.6640625" style="330" bestFit="1" customWidth="1"/>
    <col min="5137" max="5137" width="8.88671875" style="330"/>
    <col min="5138" max="5138" width="10.33203125" style="330" bestFit="1" customWidth="1"/>
    <col min="5139" max="5371" width="8.88671875" style="330"/>
    <col min="5372" max="5372" width="9.5546875" style="330" bestFit="1" customWidth="1"/>
    <col min="5373" max="5374" width="3.5546875" style="330" bestFit="1" customWidth="1"/>
    <col min="5375" max="5375" width="5.5546875" style="330" bestFit="1" customWidth="1"/>
    <col min="5376" max="5377" width="10.6640625" style="330" bestFit="1" customWidth="1"/>
    <col min="5378" max="5378" width="9.6640625" style="330" bestFit="1" customWidth="1"/>
    <col min="5379" max="5379" width="9.6640625" style="330" customWidth="1"/>
    <col min="5380" max="5381" width="9.6640625" style="330" bestFit="1" customWidth="1"/>
    <col min="5382" max="5382" width="8.109375" style="330" bestFit="1" customWidth="1"/>
    <col min="5383" max="5387" width="9.33203125" style="330" bestFit="1" customWidth="1"/>
    <col min="5388" max="5388" width="10.6640625" style="330" bestFit="1" customWidth="1"/>
    <col min="5389" max="5390" width="10.6640625" style="330" customWidth="1"/>
    <col min="5391" max="5392" width="11.6640625" style="330" bestFit="1" customWidth="1"/>
    <col min="5393" max="5393" width="8.88671875" style="330"/>
    <col min="5394" max="5394" width="10.33203125" style="330" bestFit="1" customWidth="1"/>
    <col min="5395" max="5627" width="8.88671875" style="330"/>
    <col min="5628" max="5628" width="9.5546875" style="330" bestFit="1" customWidth="1"/>
    <col min="5629" max="5630" width="3.5546875" style="330" bestFit="1" customWidth="1"/>
    <col min="5631" max="5631" width="5.5546875" style="330" bestFit="1" customWidth="1"/>
    <col min="5632" max="5633" width="10.6640625" style="330" bestFit="1" customWidth="1"/>
    <col min="5634" max="5634" width="9.6640625" style="330" bestFit="1" customWidth="1"/>
    <col min="5635" max="5635" width="9.6640625" style="330" customWidth="1"/>
    <col min="5636" max="5637" width="9.6640625" style="330" bestFit="1" customWidth="1"/>
    <col min="5638" max="5638" width="8.109375" style="330" bestFit="1" customWidth="1"/>
    <col min="5639" max="5643" width="9.33203125" style="330" bestFit="1" customWidth="1"/>
    <col min="5644" max="5644" width="10.6640625" style="330" bestFit="1" customWidth="1"/>
    <col min="5645" max="5646" width="10.6640625" style="330" customWidth="1"/>
    <col min="5647" max="5648" width="11.6640625" style="330" bestFit="1" customWidth="1"/>
    <col min="5649" max="5649" width="8.88671875" style="330"/>
    <col min="5650" max="5650" width="10.33203125" style="330" bestFit="1" customWidth="1"/>
    <col min="5651" max="5883" width="8.88671875" style="330"/>
    <col min="5884" max="5884" width="9.5546875" style="330" bestFit="1" customWidth="1"/>
    <col min="5885" max="5886" width="3.5546875" style="330" bestFit="1" customWidth="1"/>
    <col min="5887" max="5887" width="5.5546875" style="330" bestFit="1" customWidth="1"/>
    <col min="5888" max="5889" width="10.6640625" style="330" bestFit="1" customWidth="1"/>
    <col min="5890" max="5890" width="9.6640625" style="330" bestFit="1" customWidth="1"/>
    <col min="5891" max="5891" width="9.6640625" style="330" customWidth="1"/>
    <col min="5892" max="5893" width="9.6640625" style="330" bestFit="1" customWidth="1"/>
    <col min="5894" max="5894" width="8.109375" style="330" bestFit="1" customWidth="1"/>
    <col min="5895" max="5899" width="9.33203125" style="330" bestFit="1" customWidth="1"/>
    <col min="5900" max="5900" width="10.6640625" style="330" bestFit="1" customWidth="1"/>
    <col min="5901" max="5902" width="10.6640625" style="330" customWidth="1"/>
    <col min="5903" max="5904" width="11.6640625" style="330" bestFit="1" customWidth="1"/>
    <col min="5905" max="5905" width="8.88671875" style="330"/>
    <col min="5906" max="5906" width="10.33203125" style="330" bestFit="1" customWidth="1"/>
    <col min="5907" max="6139" width="8.88671875" style="330"/>
    <col min="6140" max="6140" width="9.5546875" style="330" bestFit="1" customWidth="1"/>
    <col min="6141" max="6142" width="3.5546875" style="330" bestFit="1" customWidth="1"/>
    <col min="6143" max="6143" width="5.5546875" style="330" bestFit="1" customWidth="1"/>
    <col min="6144" max="6145" width="10.6640625" style="330" bestFit="1" customWidth="1"/>
    <col min="6146" max="6146" width="9.6640625" style="330" bestFit="1" customWidth="1"/>
    <col min="6147" max="6147" width="9.6640625" style="330" customWidth="1"/>
    <col min="6148" max="6149" width="9.6640625" style="330" bestFit="1" customWidth="1"/>
    <col min="6150" max="6150" width="8.109375" style="330" bestFit="1" customWidth="1"/>
    <col min="6151" max="6155" width="9.33203125" style="330" bestFit="1" customWidth="1"/>
    <col min="6156" max="6156" width="10.6640625" style="330" bestFit="1" customWidth="1"/>
    <col min="6157" max="6158" width="10.6640625" style="330" customWidth="1"/>
    <col min="6159" max="6160" width="11.6640625" style="330" bestFit="1" customWidth="1"/>
    <col min="6161" max="6161" width="8.88671875" style="330"/>
    <col min="6162" max="6162" width="10.33203125" style="330" bestFit="1" customWidth="1"/>
    <col min="6163" max="6395" width="8.88671875" style="330"/>
    <col min="6396" max="6396" width="9.5546875" style="330" bestFit="1" customWidth="1"/>
    <col min="6397" max="6398" width="3.5546875" style="330" bestFit="1" customWidth="1"/>
    <col min="6399" max="6399" width="5.5546875" style="330" bestFit="1" customWidth="1"/>
    <col min="6400" max="6401" width="10.6640625" style="330" bestFit="1" customWidth="1"/>
    <col min="6402" max="6402" width="9.6640625" style="330" bestFit="1" customWidth="1"/>
    <col min="6403" max="6403" width="9.6640625" style="330" customWidth="1"/>
    <col min="6404" max="6405" width="9.6640625" style="330" bestFit="1" customWidth="1"/>
    <col min="6406" max="6406" width="8.109375" style="330" bestFit="1" customWidth="1"/>
    <col min="6407" max="6411" width="9.33203125" style="330" bestFit="1" customWidth="1"/>
    <col min="6412" max="6412" width="10.6640625" style="330" bestFit="1" customWidth="1"/>
    <col min="6413" max="6414" width="10.6640625" style="330" customWidth="1"/>
    <col min="6415" max="6416" width="11.6640625" style="330" bestFit="1" customWidth="1"/>
    <col min="6417" max="6417" width="8.88671875" style="330"/>
    <col min="6418" max="6418" width="10.33203125" style="330" bestFit="1" customWidth="1"/>
    <col min="6419" max="6651" width="8.88671875" style="330"/>
    <col min="6652" max="6652" width="9.5546875" style="330" bestFit="1" customWidth="1"/>
    <col min="6653" max="6654" width="3.5546875" style="330" bestFit="1" customWidth="1"/>
    <col min="6655" max="6655" width="5.5546875" style="330" bestFit="1" customWidth="1"/>
    <col min="6656" max="6657" width="10.6640625" style="330" bestFit="1" customWidth="1"/>
    <col min="6658" max="6658" width="9.6640625" style="330" bestFit="1" customWidth="1"/>
    <col min="6659" max="6659" width="9.6640625" style="330" customWidth="1"/>
    <col min="6660" max="6661" width="9.6640625" style="330" bestFit="1" customWidth="1"/>
    <col min="6662" max="6662" width="8.109375" style="330" bestFit="1" customWidth="1"/>
    <col min="6663" max="6667" width="9.33203125" style="330" bestFit="1" customWidth="1"/>
    <col min="6668" max="6668" width="10.6640625" style="330" bestFit="1" customWidth="1"/>
    <col min="6669" max="6670" width="10.6640625" style="330" customWidth="1"/>
    <col min="6671" max="6672" width="11.6640625" style="330" bestFit="1" customWidth="1"/>
    <col min="6673" max="6673" width="8.88671875" style="330"/>
    <col min="6674" max="6674" width="10.33203125" style="330" bestFit="1" customWidth="1"/>
    <col min="6675" max="6907" width="8.88671875" style="330"/>
    <col min="6908" max="6908" width="9.5546875" style="330" bestFit="1" customWidth="1"/>
    <col min="6909" max="6910" width="3.5546875" style="330" bestFit="1" customWidth="1"/>
    <col min="6911" max="6911" width="5.5546875" style="330" bestFit="1" customWidth="1"/>
    <col min="6912" max="6913" width="10.6640625" style="330" bestFit="1" customWidth="1"/>
    <col min="6914" max="6914" width="9.6640625" style="330" bestFit="1" customWidth="1"/>
    <col min="6915" max="6915" width="9.6640625" style="330" customWidth="1"/>
    <col min="6916" max="6917" width="9.6640625" style="330" bestFit="1" customWidth="1"/>
    <col min="6918" max="6918" width="8.109375" style="330" bestFit="1" customWidth="1"/>
    <col min="6919" max="6923" width="9.33203125" style="330" bestFit="1" customWidth="1"/>
    <col min="6924" max="6924" width="10.6640625" style="330" bestFit="1" customWidth="1"/>
    <col min="6925" max="6926" width="10.6640625" style="330" customWidth="1"/>
    <col min="6927" max="6928" width="11.6640625" style="330" bestFit="1" customWidth="1"/>
    <col min="6929" max="6929" width="8.88671875" style="330"/>
    <col min="6930" max="6930" width="10.33203125" style="330" bestFit="1" customWidth="1"/>
    <col min="6931" max="7163" width="8.88671875" style="330"/>
    <col min="7164" max="7164" width="9.5546875" style="330" bestFit="1" customWidth="1"/>
    <col min="7165" max="7166" width="3.5546875" style="330" bestFit="1" customWidth="1"/>
    <col min="7167" max="7167" width="5.5546875" style="330" bestFit="1" customWidth="1"/>
    <col min="7168" max="7169" width="10.6640625" style="330" bestFit="1" customWidth="1"/>
    <col min="7170" max="7170" width="9.6640625" style="330" bestFit="1" customWidth="1"/>
    <col min="7171" max="7171" width="9.6640625" style="330" customWidth="1"/>
    <col min="7172" max="7173" width="9.6640625" style="330" bestFit="1" customWidth="1"/>
    <col min="7174" max="7174" width="8.109375" style="330" bestFit="1" customWidth="1"/>
    <col min="7175" max="7179" width="9.33203125" style="330" bestFit="1" customWidth="1"/>
    <col min="7180" max="7180" width="10.6640625" style="330" bestFit="1" customWidth="1"/>
    <col min="7181" max="7182" width="10.6640625" style="330" customWidth="1"/>
    <col min="7183" max="7184" width="11.6640625" style="330" bestFit="1" customWidth="1"/>
    <col min="7185" max="7185" width="8.88671875" style="330"/>
    <col min="7186" max="7186" width="10.33203125" style="330" bestFit="1" customWidth="1"/>
    <col min="7187" max="7419" width="8.88671875" style="330"/>
    <col min="7420" max="7420" width="9.5546875" style="330" bestFit="1" customWidth="1"/>
    <col min="7421" max="7422" width="3.5546875" style="330" bestFit="1" customWidth="1"/>
    <col min="7423" max="7423" width="5.5546875" style="330" bestFit="1" customWidth="1"/>
    <col min="7424" max="7425" width="10.6640625" style="330" bestFit="1" customWidth="1"/>
    <col min="7426" max="7426" width="9.6640625" style="330" bestFit="1" customWidth="1"/>
    <col min="7427" max="7427" width="9.6640625" style="330" customWidth="1"/>
    <col min="7428" max="7429" width="9.6640625" style="330" bestFit="1" customWidth="1"/>
    <col min="7430" max="7430" width="8.109375" style="330" bestFit="1" customWidth="1"/>
    <col min="7431" max="7435" width="9.33203125" style="330" bestFit="1" customWidth="1"/>
    <col min="7436" max="7436" width="10.6640625" style="330" bestFit="1" customWidth="1"/>
    <col min="7437" max="7438" width="10.6640625" style="330" customWidth="1"/>
    <col min="7439" max="7440" width="11.6640625" style="330" bestFit="1" customWidth="1"/>
    <col min="7441" max="7441" width="8.88671875" style="330"/>
    <col min="7442" max="7442" width="10.33203125" style="330" bestFit="1" customWidth="1"/>
    <col min="7443" max="7675" width="8.88671875" style="330"/>
    <col min="7676" max="7676" width="9.5546875" style="330" bestFit="1" customWidth="1"/>
    <col min="7677" max="7678" width="3.5546875" style="330" bestFit="1" customWidth="1"/>
    <col min="7679" max="7679" width="5.5546875" style="330" bestFit="1" customWidth="1"/>
    <col min="7680" max="7681" width="10.6640625" style="330" bestFit="1" customWidth="1"/>
    <col min="7682" max="7682" width="9.6640625" style="330" bestFit="1" customWidth="1"/>
    <col min="7683" max="7683" width="9.6640625" style="330" customWidth="1"/>
    <col min="7684" max="7685" width="9.6640625" style="330" bestFit="1" customWidth="1"/>
    <col min="7686" max="7686" width="8.109375" style="330" bestFit="1" customWidth="1"/>
    <col min="7687" max="7691" width="9.33203125" style="330" bestFit="1" customWidth="1"/>
    <col min="7692" max="7692" width="10.6640625" style="330" bestFit="1" customWidth="1"/>
    <col min="7693" max="7694" width="10.6640625" style="330" customWidth="1"/>
    <col min="7695" max="7696" width="11.6640625" style="330" bestFit="1" customWidth="1"/>
    <col min="7697" max="7697" width="8.88671875" style="330"/>
    <col min="7698" max="7698" width="10.33203125" style="330" bestFit="1" customWidth="1"/>
    <col min="7699" max="7931" width="8.88671875" style="330"/>
    <col min="7932" max="7932" width="9.5546875" style="330" bestFit="1" customWidth="1"/>
    <col min="7933" max="7934" width="3.5546875" style="330" bestFit="1" customWidth="1"/>
    <col min="7935" max="7935" width="5.5546875" style="330" bestFit="1" customWidth="1"/>
    <col min="7936" max="7937" width="10.6640625" style="330" bestFit="1" customWidth="1"/>
    <col min="7938" max="7938" width="9.6640625" style="330" bestFit="1" customWidth="1"/>
    <col min="7939" max="7939" width="9.6640625" style="330" customWidth="1"/>
    <col min="7940" max="7941" width="9.6640625" style="330" bestFit="1" customWidth="1"/>
    <col min="7942" max="7942" width="8.109375" style="330" bestFit="1" customWidth="1"/>
    <col min="7943" max="7947" width="9.33203125" style="330" bestFit="1" customWidth="1"/>
    <col min="7948" max="7948" width="10.6640625" style="330" bestFit="1" customWidth="1"/>
    <col min="7949" max="7950" width="10.6640625" style="330" customWidth="1"/>
    <col min="7951" max="7952" width="11.6640625" style="330" bestFit="1" customWidth="1"/>
    <col min="7953" max="7953" width="8.88671875" style="330"/>
    <col min="7954" max="7954" width="10.33203125" style="330" bestFit="1" customWidth="1"/>
    <col min="7955" max="8187" width="8.88671875" style="330"/>
    <col min="8188" max="8188" width="9.5546875" style="330" bestFit="1" customWidth="1"/>
    <col min="8189" max="8190" width="3.5546875" style="330" bestFit="1" customWidth="1"/>
    <col min="8191" max="8191" width="5.5546875" style="330" bestFit="1" customWidth="1"/>
    <col min="8192" max="8193" width="10.6640625" style="330" bestFit="1" customWidth="1"/>
    <col min="8194" max="8194" width="9.6640625" style="330" bestFit="1" customWidth="1"/>
    <col min="8195" max="8195" width="9.6640625" style="330" customWidth="1"/>
    <col min="8196" max="8197" width="9.6640625" style="330" bestFit="1" customWidth="1"/>
    <col min="8198" max="8198" width="8.109375" style="330" bestFit="1" customWidth="1"/>
    <col min="8199" max="8203" width="9.33203125" style="330" bestFit="1" customWidth="1"/>
    <col min="8204" max="8204" width="10.6640625" style="330" bestFit="1" customWidth="1"/>
    <col min="8205" max="8206" width="10.6640625" style="330" customWidth="1"/>
    <col min="8207" max="8208" width="11.6640625" style="330" bestFit="1" customWidth="1"/>
    <col min="8209" max="8209" width="8.88671875" style="330"/>
    <col min="8210" max="8210" width="10.33203125" style="330" bestFit="1" customWidth="1"/>
    <col min="8211" max="8443" width="8.88671875" style="330"/>
    <col min="8444" max="8444" width="9.5546875" style="330" bestFit="1" customWidth="1"/>
    <col min="8445" max="8446" width="3.5546875" style="330" bestFit="1" customWidth="1"/>
    <col min="8447" max="8447" width="5.5546875" style="330" bestFit="1" customWidth="1"/>
    <col min="8448" max="8449" width="10.6640625" style="330" bestFit="1" customWidth="1"/>
    <col min="8450" max="8450" width="9.6640625" style="330" bestFit="1" customWidth="1"/>
    <col min="8451" max="8451" width="9.6640625" style="330" customWidth="1"/>
    <col min="8452" max="8453" width="9.6640625" style="330" bestFit="1" customWidth="1"/>
    <col min="8454" max="8454" width="8.109375" style="330" bestFit="1" customWidth="1"/>
    <col min="8455" max="8459" width="9.33203125" style="330" bestFit="1" customWidth="1"/>
    <col min="8460" max="8460" width="10.6640625" style="330" bestFit="1" customWidth="1"/>
    <col min="8461" max="8462" width="10.6640625" style="330" customWidth="1"/>
    <col min="8463" max="8464" width="11.6640625" style="330" bestFit="1" customWidth="1"/>
    <col min="8465" max="8465" width="8.88671875" style="330"/>
    <col min="8466" max="8466" width="10.33203125" style="330" bestFit="1" customWidth="1"/>
    <col min="8467" max="8699" width="8.88671875" style="330"/>
    <col min="8700" max="8700" width="9.5546875" style="330" bestFit="1" customWidth="1"/>
    <col min="8701" max="8702" width="3.5546875" style="330" bestFit="1" customWidth="1"/>
    <col min="8703" max="8703" width="5.5546875" style="330" bestFit="1" customWidth="1"/>
    <col min="8704" max="8705" width="10.6640625" style="330" bestFit="1" customWidth="1"/>
    <col min="8706" max="8706" width="9.6640625" style="330" bestFit="1" customWidth="1"/>
    <col min="8707" max="8707" width="9.6640625" style="330" customWidth="1"/>
    <col min="8708" max="8709" width="9.6640625" style="330" bestFit="1" customWidth="1"/>
    <col min="8710" max="8710" width="8.109375" style="330" bestFit="1" customWidth="1"/>
    <col min="8711" max="8715" width="9.33203125" style="330" bestFit="1" customWidth="1"/>
    <col min="8716" max="8716" width="10.6640625" style="330" bestFit="1" customWidth="1"/>
    <col min="8717" max="8718" width="10.6640625" style="330" customWidth="1"/>
    <col min="8719" max="8720" width="11.6640625" style="330" bestFit="1" customWidth="1"/>
    <col min="8721" max="8721" width="8.88671875" style="330"/>
    <col min="8722" max="8722" width="10.33203125" style="330" bestFit="1" customWidth="1"/>
    <col min="8723" max="8955" width="8.88671875" style="330"/>
    <col min="8956" max="8956" width="9.5546875" style="330" bestFit="1" customWidth="1"/>
    <col min="8957" max="8958" width="3.5546875" style="330" bestFit="1" customWidth="1"/>
    <col min="8959" max="8959" width="5.5546875" style="330" bestFit="1" customWidth="1"/>
    <col min="8960" max="8961" width="10.6640625" style="330" bestFit="1" customWidth="1"/>
    <col min="8962" max="8962" width="9.6640625" style="330" bestFit="1" customWidth="1"/>
    <col min="8963" max="8963" width="9.6640625" style="330" customWidth="1"/>
    <col min="8964" max="8965" width="9.6640625" style="330" bestFit="1" customWidth="1"/>
    <col min="8966" max="8966" width="8.109375" style="330" bestFit="1" customWidth="1"/>
    <col min="8967" max="8971" width="9.33203125" style="330" bestFit="1" customWidth="1"/>
    <col min="8972" max="8972" width="10.6640625" style="330" bestFit="1" customWidth="1"/>
    <col min="8973" max="8974" width="10.6640625" style="330" customWidth="1"/>
    <col min="8975" max="8976" width="11.6640625" style="330" bestFit="1" customWidth="1"/>
    <col min="8977" max="8977" width="8.88671875" style="330"/>
    <col min="8978" max="8978" width="10.33203125" style="330" bestFit="1" customWidth="1"/>
    <col min="8979" max="9211" width="8.88671875" style="330"/>
    <col min="9212" max="9212" width="9.5546875" style="330" bestFit="1" customWidth="1"/>
    <col min="9213" max="9214" width="3.5546875" style="330" bestFit="1" customWidth="1"/>
    <col min="9215" max="9215" width="5.5546875" style="330" bestFit="1" customWidth="1"/>
    <col min="9216" max="9217" width="10.6640625" style="330" bestFit="1" customWidth="1"/>
    <col min="9218" max="9218" width="9.6640625" style="330" bestFit="1" customWidth="1"/>
    <col min="9219" max="9219" width="9.6640625" style="330" customWidth="1"/>
    <col min="9220" max="9221" width="9.6640625" style="330" bestFit="1" customWidth="1"/>
    <col min="9222" max="9222" width="8.109375" style="330" bestFit="1" customWidth="1"/>
    <col min="9223" max="9227" width="9.33203125" style="330" bestFit="1" customWidth="1"/>
    <col min="9228" max="9228" width="10.6640625" style="330" bestFit="1" customWidth="1"/>
    <col min="9229" max="9230" width="10.6640625" style="330" customWidth="1"/>
    <col min="9231" max="9232" width="11.6640625" style="330" bestFit="1" customWidth="1"/>
    <col min="9233" max="9233" width="8.88671875" style="330"/>
    <col min="9234" max="9234" width="10.33203125" style="330" bestFit="1" customWidth="1"/>
    <col min="9235" max="9467" width="8.88671875" style="330"/>
    <col min="9468" max="9468" width="9.5546875" style="330" bestFit="1" customWidth="1"/>
    <col min="9469" max="9470" width="3.5546875" style="330" bestFit="1" customWidth="1"/>
    <col min="9471" max="9471" width="5.5546875" style="330" bestFit="1" customWidth="1"/>
    <col min="9472" max="9473" width="10.6640625" style="330" bestFit="1" customWidth="1"/>
    <col min="9474" max="9474" width="9.6640625" style="330" bestFit="1" customWidth="1"/>
    <col min="9475" max="9475" width="9.6640625" style="330" customWidth="1"/>
    <col min="9476" max="9477" width="9.6640625" style="330" bestFit="1" customWidth="1"/>
    <col min="9478" max="9478" width="8.109375" style="330" bestFit="1" customWidth="1"/>
    <col min="9479" max="9483" width="9.33203125" style="330" bestFit="1" customWidth="1"/>
    <col min="9484" max="9484" width="10.6640625" style="330" bestFit="1" customWidth="1"/>
    <col min="9485" max="9486" width="10.6640625" style="330" customWidth="1"/>
    <col min="9487" max="9488" width="11.6640625" style="330" bestFit="1" customWidth="1"/>
    <col min="9489" max="9489" width="8.88671875" style="330"/>
    <col min="9490" max="9490" width="10.33203125" style="330" bestFit="1" customWidth="1"/>
    <col min="9491" max="9723" width="8.88671875" style="330"/>
    <col min="9724" max="9724" width="9.5546875" style="330" bestFit="1" customWidth="1"/>
    <col min="9725" max="9726" width="3.5546875" style="330" bestFit="1" customWidth="1"/>
    <col min="9727" max="9727" width="5.5546875" style="330" bestFit="1" customWidth="1"/>
    <col min="9728" max="9729" width="10.6640625" style="330" bestFit="1" customWidth="1"/>
    <col min="9730" max="9730" width="9.6640625" style="330" bestFit="1" customWidth="1"/>
    <col min="9731" max="9731" width="9.6640625" style="330" customWidth="1"/>
    <col min="9732" max="9733" width="9.6640625" style="330" bestFit="1" customWidth="1"/>
    <col min="9734" max="9734" width="8.109375" style="330" bestFit="1" customWidth="1"/>
    <col min="9735" max="9739" width="9.33203125" style="330" bestFit="1" customWidth="1"/>
    <col min="9740" max="9740" width="10.6640625" style="330" bestFit="1" customWidth="1"/>
    <col min="9741" max="9742" width="10.6640625" style="330" customWidth="1"/>
    <col min="9743" max="9744" width="11.6640625" style="330" bestFit="1" customWidth="1"/>
    <col min="9745" max="9745" width="8.88671875" style="330"/>
    <col min="9746" max="9746" width="10.33203125" style="330" bestFit="1" customWidth="1"/>
    <col min="9747" max="9979" width="8.88671875" style="330"/>
    <col min="9980" max="9980" width="9.5546875" style="330" bestFit="1" customWidth="1"/>
    <col min="9981" max="9982" width="3.5546875" style="330" bestFit="1" customWidth="1"/>
    <col min="9983" max="9983" width="5.5546875" style="330" bestFit="1" customWidth="1"/>
    <col min="9984" max="9985" width="10.6640625" style="330" bestFit="1" customWidth="1"/>
    <col min="9986" max="9986" width="9.6640625" style="330" bestFit="1" customWidth="1"/>
    <col min="9987" max="9987" width="9.6640625" style="330" customWidth="1"/>
    <col min="9988" max="9989" width="9.6640625" style="330" bestFit="1" customWidth="1"/>
    <col min="9990" max="9990" width="8.109375" style="330" bestFit="1" customWidth="1"/>
    <col min="9991" max="9995" width="9.33203125" style="330" bestFit="1" customWidth="1"/>
    <col min="9996" max="9996" width="10.6640625" style="330" bestFit="1" customWidth="1"/>
    <col min="9997" max="9998" width="10.6640625" style="330" customWidth="1"/>
    <col min="9999" max="10000" width="11.6640625" style="330" bestFit="1" customWidth="1"/>
    <col min="10001" max="10001" width="8.88671875" style="330"/>
    <col min="10002" max="10002" width="10.33203125" style="330" bestFit="1" customWidth="1"/>
    <col min="10003" max="10235" width="8.88671875" style="330"/>
    <col min="10236" max="10236" width="9.5546875" style="330" bestFit="1" customWidth="1"/>
    <col min="10237" max="10238" width="3.5546875" style="330" bestFit="1" customWidth="1"/>
    <col min="10239" max="10239" width="5.5546875" style="330" bestFit="1" customWidth="1"/>
    <col min="10240" max="10241" width="10.6640625" style="330" bestFit="1" customWidth="1"/>
    <col min="10242" max="10242" width="9.6640625" style="330" bestFit="1" customWidth="1"/>
    <col min="10243" max="10243" width="9.6640625" style="330" customWidth="1"/>
    <col min="10244" max="10245" width="9.6640625" style="330" bestFit="1" customWidth="1"/>
    <col min="10246" max="10246" width="8.109375" style="330" bestFit="1" customWidth="1"/>
    <col min="10247" max="10251" width="9.33203125" style="330" bestFit="1" customWidth="1"/>
    <col min="10252" max="10252" width="10.6640625" style="330" bestFit="1" customWidth="1"/>
    <col min="10253" max="10254" width="10.6640625" style="330" customWidth="1"/>
    <col min="10255" max="10256" width="11.6640625" style="330" bestFit="1" customWidth="1"/>
    <col min="10257" max="10257" width="8.88671875" style="330"/>
    <col min="10258" max="10258" width="10.33203125" style="330" bestFit="1" customWidth="1"/>
    <col min="10259" max="10491" width="8.88671875" style="330"/>
    <col min="10492" max="10492" width="9.5546875" style="330" bestFit="1" customWidth="1"/>
    <col min="10493" max="10494" width="3.5546875" style="330" bestFit="1" customWidth="1"/>
    <col min="10495" max="10495" width="5.5546875" style="330" bestFit="1" customWidth="1"/>
    <col min="10496" max="10497" width="10.6640625" style="330" bestFit="1" customWidth="1"/>
    <col min="10498" max="10498" width="9.6640625" style="330" bestFit="1" customWidth="1"/>
    <col min="10499" max="10499" width="9.6640625" style="330" customWidth="1"/>
    <col min="10500" max="10501" width="9.6640625" style="330" bestFit="1" customWidth="1"/>
    <col min="10502" max="10502" width="8.109375" style="330" bestFit="1" customWidth="1"/>
    <col min="10503" max="10507" width="9.33203125" style="330" bestFit="1" customWidth="1"/>
    <col min="10508" max="10508" width="10.6640625" style="330" bestFit="1" customWidth="1"/>
    <col min="10509" max="10510" width="10.6640625" style="330" customWidth="1"/>
    <col min="10511" max="10512" width="11.6640625" style="330" bestFit="1" customWidth="1"/>
    <col min="10513" max="10513" width="8.88671875" style="330"/>
    <col min="10514" max="10514" width="10.33203125" style="330" bestFit="1" customWidth="1"/>
    <col min="10515" max="10747" width="8.88671875" style="330"/>
    <col min="10748" max="10748" width="9.5546875" style="330" bestFit="1" customWidth="1"/>
    <col min="10749" max="10750" width="3.5546875" style="330" bestFit="1" customWidth="1"/>
    <col min="10751" max="10751" width="5.5546875" style="330" bestFit="1" customWidth="1"/>
    <col min="10752" max="10753" width="10.6640625" style="330" bestFit="1" customWidth="1"/>
    <col min="10754" max="10754" width="9.6640625" style="330" bestFit="1" customWidth="1"/>
    <col min="10755" max="10755" width="9.6640625" style="330" customWidth="1"/>
    <col min="10756" max="10757" width="9.6640625" style="330" bestFit="1" customWidth="1"/>
    <col min="10758" max="10758" width="8.109375" style="330" bestFit="1" customWidth="1"/>
    <col min="10759" max="10763" width="9.33203125" style="330" bestFit="1" customWidth="1"/>
    <col min="10764" max="10764" width="10.6640625" style="330" bestFit="1" customWidth="1"/>
    <col min="10765" max="10766" width="10.6640625" style="330" customWidth="1"/>
    <col min="10767" max="10768" width="11.6640625" style="330" bestFit="1" customWidth="1"/>
    <col min="10769" max="10769" width="8.88671875" style="330"/>
    <col min="10770" max="10770" width="10.33203125" style="330" bestFit="1" customWidth="1"/>
    <col min="10771" max="11003" width="8.88671875" style="330"/>
    <col min="11004" max="11004" width="9.5546875" style="330" bestFit="1" customWidth="1"/>
    <col min="11005" max="11006" width="3.5546875" style="330" bestFit="1" customWidth="1"/>
    <col min="11007" max="11007" width="5.5546875" style="330" bestFit="1" customWidth="1"/>
    <col min="11008" max="11009" width="10.6640625" style="330" bestFit="1" customWidth="1"/>
    <col min="11010" max="11010" width="9.6640625" style="330" bestFit="1" customWidth="1"/>
    <col min="11011" max="11011" width="9.6640625" style="330" customWidth="1"/>
    <col min="11012" max="11013" width="9.6640625" style="330" bestFit="1" customWidth="1"/>
    <col min="11014" max="11014" width="8.109375" style="330" bestFit="1" customWidth="1"/>
    <col min="11015" max="11019" width="9.33203125" style="330" bestFit="1" customWidth="1"/>
    <col min="11020" max="11020" width="10.6640625" style="330" bestFit="1" customWidth="1"/>
    <col min="11021" max="11022" width="10.6640625" style="330" customWidth="1"/>
    <col min="11023" max="11024" width="11.6640625" style="330" bestFit="1" customWidth="1"/>
    <col min="11025" max="11025" width="8.88671875" style="330"/>
    <col min="11026" max="11026" width="10.33203125" style="330" bestFit="1" customWidth="1"/>
    <col min="11027" max="11259" width="8.88671875" style="330"/>
    <col min="11260" max="11260" width="9.5546875" style="330" bestFit="1" customWidth="1"/>
    <col min="11261" max="11262" width="3.5546875" style="330" bestFit="1" customWidth="1"/>
    <col min="11263" max="11263" width="5.5546875" style="330" bestFit="1" customWidth="1"/>
    <col min="11264" max="11265" width="10.6640625" style="330" bestFit="1" customWidth="1"/>
    <col min="11266" max="11266" width="9.6640625" style="330" bestFit="1" customWidth="1"/>
    <col min="11267" max="11267" width="9.6640625" style="330" customWidth="1"/>
    <col min="11268" max="11269" width="9.6640625" style="330" bestFit="1" customWidth="1"/>
    <col min="11270" max="11270" width="8.109375" style="330" bestFit="1" customWidth="1"/>
    <col min="11271" max="11275" width="9.33203125" style="330" bestFit="1" customWidth="1"/>
    <col min="11276" max="11276" width="10.6640625" style="330" bestFit="1" customWidth="1"/>
    <col min="11277" max="11278" width="10.6640625" style="330" customWidth="1"/>
    <col min="11279" max="11280" width="11.6640625" style="330" bestFit="1" customWidth="1"/>
    <col min="11281" max="11281" width="8.88671875" style="330"/>
    <col min="11282" max="11282" width="10.33203125" style="330" bestFit="1" customWidth="1"/>
    <col min="11283" max="11515" width="8.88671875" style="330"/>
    <col min="11516" max="11516" width="9.5546875" style="330" bestFit="1" customWidth="1"/>
    <col min="11517" max="11518" width="3.5546875" style="330" bestFit="1" customWidth="1"/>
    <col min="11519" max="11519" width="5.5546875" style="330" bestFit="1" customWidth="1"/>
    <col min="11520" max="11521" width="10.6640625" style="330" bestFit="1" customWidth="1"/>
    <col min="11522" max="11522" width="9.6640625" style="330" bestFit="1" customWidth="1"/>
    <col min="11523" max="11523" width="9.6640625" style="330" customWidth="1"/>
    <col min="11524" max="11525" width="9.6640625" style="330" bestFit="1" customWidth="1"/>
    <col min="11526" max="11526" width="8.109375" style="330" bestFit="1" customWidth="1"/>
    <col min="11527" max="11531" width="9.33203125" style="330" bestFit="1" customWidth="1"/>
    <col min="11532" max="11532" width="10.6640625" style="330" bestFit="1" customWidth="1"/>
    <col min="11533" max="11534" width="10.6640625" style="330" customWidth="1"/>
    <col min="11535" max="11536" width="11.6640625" style="330" bestFit="1" customWidth="1"/>
    <col min="11537" max="11537" width="8.88671875" style="330"/>
    <col min="11538" max="11538" width="10.33203125" style="330" bestFit="1" customWidth="1"/>
    <col min="11539" max="11771" width="8.88671875" style="330"/>
    <col min="11772" max="11772" width="9.5546875" style="330" bestFit="1" customWidth="1"/>
    <col min="11773" max="11774" width="3.5546875" style="330" bestFit="1" customWidth="1"/>
    <col min="11775" max="11775" width="5.5546875" style="330" bestFit="1" customWidth="1"/>
    <col min="11776" max="11777" width="10.6640625" style="330" bestFit="1" customWidth="1"/>
    <col min="11778" max="11778" width="9.6640625" style="330" bestFit="1" customWidth="1"/>
    <col min="11779" max="11779" width="9.6640625" style="330" customWidth="1"/>
    <col min="11780" max="11781" width="9.6640625" style="330" bestFit="1" customWidth="1"/>
    <col min="11782" max="11782" width="8.109375" style="330" bestFit="1" customWidth="1"/>
    <col min="11783" max="11787" width="9.33203125" style="330" bestFit="1" customWidth="1"/>
    <col min="11788" max="11788" width="10.6640625" style="330" bestFit="1" customWidth="1"/>
    <col min="11789" max="11790" width="10.6640625" style="330" customWidth="1"/>
    <col min="11791" max="11792" width="11.6640625" style="330" bestFit="1" customWidth="1"/>
    <col min="11793" max="11793" width="8.88671875" style="330"/>
    <col min="11794" max="11794" width="10.33203125" style="330" bestFit="1" customWidth="1"/>
    <col min="11795" max="12027" width="8.88671875" style="330"/>
    <col min="12028" max="12028" width="9.5546875" style="330" bestFit="1" customWidth="1"/>
    <col min="12029" max="12030" width="3.5546875" style="330" bestFit="1" customWidth="1"/>
    <col min="12031" max="12031" width="5.5546875" style="330" bestFit="1" customWidth="1"/>
    <col min="12032" max="12033" width="10.6640625" style="330" bestFit="1" customWidth="1"/>
    <col min="12034" max="12034" width="9.6640625" style="330" bestFit="1" customWidth="1"/>
    <col min="12035" max="12035" width="9.6640625" style="330" customWidth="1"/>
    <col min="12036" max="12037" width="9.6640625" style="330" bestFit="1" customWidth="1"/>
    <col min="12038" max="12038" width="8.109375" style="330" bestFit="1" customWidth="1"/>
    <col min="12039" max="12043" width="9.33203125" style="330" bestFit="1" customWidth="1"/>
    <col min="12044" max="12044" width="10.6640625" style="330" bestFit="1" customWidth="1"/>
    <col min="12045" max="12046" width="10.6640625" style="330" customWidth="1"/>
    <col min="12047" max="12048" width="11.6640625" style="330" bestFit="1" customWidth="1"/>
    <col min="12049" max="12049" width="8.88671875" style="330"/>
    <col min="12050" max="12050" width="10.33203125" style="330" bestFit="1" customWidth="1"/>
    <col min="12051" max="12283" width="8.88671875" style="330"/>
    <col min="12284" max="12284" width="9.5546875" style="330" bestFit="1" customWidth="1"/>
    <col min="12285" max="12286" width="3.5546875" style="330" bestFit="1" customWidth="1"/>
    <col min="12287" max="12287" width="5.5546875" style="330" bestFit="1" customWidth="1"/>
    <col min="12288" max="12289" width="10.6640625" style="330" bestFit="1" customWidth="1"/>
    <col min="12290" max="12290" width="9.6640625" style="330" bestFit="1" customWidth="1"/>
    <col min="12291" max="12291" width="9.6640625" style="330" customWidth="1"/>
    <col min="12292" max="12293" width="9.6640625" style="330" bestFit="1" customWidth="1"/>
    <col min="12294" max="12294" width="8.109375" style="330" bestFit="1" customWidth="1"/>
    <col min="12295" max="12299" width="9.33203125" style="330" bestFit="1" customWidth="1"/>
    <col min="12300" max="12300" width="10.6640625" style="330" bestFit="1" customWidth="1"/>
    <col min="12301" max="12302" width="10.6640625" style="330" customWidth="1"/>
    <col min="12303" max="12304" width="11.6640625" style="330" bestFit="1" customWidth="1"/>
    <col min="12305" max="12305" width="8.88671875" style="330"/>
    <col min="12306" max="12306" width="10.33203125" style="330" bestFit="1" customWidth="1"/>
    <col min="12307" max="12539" width="8.88671875" style="330"/>
    <col min="12540" max="12540" width="9.5546875" style="330" bestFit="1" customWidth="1"/>
    <col min="12541" max="12542" width="3.5546875" style="330" bestFit="1" customWidth="1"/>
    <col min="12543" max="12543" width="5.5546875" style="330" bestFit="1" customWidth="1"/>
    <col min="12544" max="12545" width="10.6640625" style="330" bestFit="1" customWidth="1"/>
    <col min="12546" max="12546" width="9.6640625" style="330" bestFit="1" customWidth="1"/>
    <col min="12547" max="12547" width="9.6640625" style="330" customWidth="1"/>
    <col min="12548" max="12549" width="9.6640625" style="330" bestFit="1" customWidth="1"/>
    <col min="12550" max="12550" width="8.109375" style="330" bestFit="1" customWidth="1"/>
    <col min="12551" max="12555" width="9.33203125" style="330" bestFit="1" customWidth="1"/>
    <col min="12556" max="12556" width="10.6640625" style="330" bestFit="1" customWidth="1"/>
    <col min="12557" max="12558" width="10.6640625" style="330" customWidth="1"/>
    <col min="12559" max="12560" width="11.6640625" style="330" bestFit="1" customWidth="1"/>
    <col min="12561" max="12561" width="8.88671875" style="330"/>
    <col min="12562" max="12562" width="10.33203125" style="330" bestFit="1" customWidth="1"/>
    <col min="12563" max="12795" width="8.88671875" style="330"/>
    <col min="12796" max="12796" width="9.5546875" style="330" bestFit="1" customWidth="1"/>
    <col min="12797" max="12798" width="3.5546875" style="330" bestFit="1" customWidth="1"/>
    <col min="12799" max="12799" width="5.5546875" style="330" bestFit="1" customWidth="1"/>
    <col min="12800" max="12801" width="10.6640625" style="330" bestFit="1" customWidth="1"/>
    <col min="12802" max="12802" width="9.6640625" style="330" bestFit="1" customWidth="1"/>
    <col min="12803" max="12803" width="9.6640625" style="330" customWidth="1"/>
    <col min="12804" max="12805" width="9.6640625" style="330" bestFit="1" customWidth="1"/>
    <col min="12806" max="12806" width="8.109375" style="330" bestFit="1" customWidth="1"/>
    <col min="12807" max="12811" width="9.33203125" style="330" bestFit="1" customWidth="1"/>
    <col min="12812" max="12812" width="10.6640625" style="330" bestFit="1" customWidth="1"/>
    <col min="12813" max="12814" width="10.6640625" style="330" customWidth="1"/>
    <col min="12815" max="12816" width="11.6640625" style="330" bestFit="1" customWidth="1"/>
    <col min="12817" max="12817" width="8.88671875" style="330"/>
    <col min="12818" max="12818" width="10.33203125" style="330" bestFit="1" customWidth="1"/>
    <col min="12819" max="13051" width="8.88671875" style="330"/>
    <col min="13052" max="13052" width="9.5546875" style="330" bestFit="1" customWidth="1"/>
    <col min="13053" max="13054" width="3.5546875" style="330" bestFit="1" customWidth="1"/>
    <col min="13055" max="13055" width="5.5546875" style="330" bestFit="1" customWidth="1"/>
    <col min="13056" max="13057" width="10.6640625" style="330" bestFit="1" customWidth="1"/>
    <col min="13058" max="13058" width="9.6640625" style="330" bestFit="1" customWidth="1"/>
    <col min="13059" max="13059" width="9.6640625" style="330" customWidth="1"/>
    <col min="13060" max="13061" width="9.6640625" style="330" bestFit="1" customWidth="1"/>
    <col min="13062" max="13062" width="8.109375" style="330" bestFit="1" customWidth="1"/>
    <col min="13063" max="13067" width="9.33203125" style="330" bestFit="1" customWidth="1"/>
    <col min="13068" max="13068" width="10.6640625" style="330" bestFit="1" customWidth="1"/>
    <col min="13069" max="13070" width="10.6640625" style="330" customWidth="1"/>
    <col min="13071" max="13072" width="11.6640625" style="330" bestFit="1" customWidth="1"/>
    <col min="13073" max="13073" width="8.88671875" style="330"/>
    <col min="13074" max="13074" width="10.33203125" style="330" bestFit="1" customWidth="1"/>
    <col min="13075" max="13307" width="8.88671875" style="330"/>
    <col min="13308" max="13308" width="9.5546875" style="330" bestFit="1" customWidth="1"/>
    <col min="13309" max="13310" width="3.5546875" style="330" bestFit="1" customWidth="1"/>
    <col min="13311" max="13311" width="5.5546875" style="330" bestFit="1" customWidth="1"/>
    <col min="13312" max="13313" width="10.6640625" style="330" bestFit="1" customWidth="1"/>
    <col min="13314" max="13314" width="9.6640625" style="330" bestFit="1" customWidth="1"/>
    <col min="13315" max="13315" width="9.6640625" style="330" customWidth="1"/>
    <col min="13316" max="13317" width="9.6640625" style="330" bestFit="1" customWidth="1"/>
    <col min="13318" max="13318" width="8.109375" style="330" bestFit="1" customWidth="1"/>
    <col min="13319" max="13323" width="9.33203125" style="330" bestFit="1" customWidth="1"/>
    <col min="13324" max="13324" width="10.6640625" style="330" bestFit="1" customWidth="1"/>
    <col min="13325" max="13326" width="10.6640625" style="330" customWidth="1"/>
    <col min="13327" max="13328" width="11.6640625" style="330" bestFit="1" customWidth="1"/>
    <col min="13329" max="13329" width="8.88671875" style="330"/>
    <col min="13330" max="13330" width="10.33203125" style="330" bestFit="1" customWidth="1"/>
    <col min="13331" max="13563" width="8.88671875" style="330"/>
    <col min="13564" max="13564" width="9.5546875" style="330" bestFit="1" customWidth="1"/>
    <col min="13565" max="13566" width="3.5546875" style="330" bestFit="1" customWidth="1"/>
    <col min="13567" max="13567" width="5.5546875" style="330" bestFit="1" customWidth="1"/>
    <col min="13568" max="13569" width="10.6640625" style="330" bestFit="1" customWidth="1"/>
    <col min="13570" max="13570" width="9.6640625" style="330" bestFit="1" customWidth="1"/>
    <col min="13571" max="13571" width="9.6640625" style="330" customWidth="1"/>
    <col min="13572" max="13573" width="9.6640625" style="330" bestFit="1" customWidth="1"/>
    <col min="13574" max="13574" width="8.109375" style="330" bestFit="1" customWidth="1"/>
    <col min="13575" max="13579" width="9.33203125" style="330" bestFit="1" customWidth="1"/>
    <col min="13580" max="13580" width="10.6640625" style="330" bestFit="1" customWidth="1"/>
    <col min="13581" max="13582" width="10.6640625" style="330" customWidth="1"/>
    <col min="13583" max="13584" width="11.6640625" style="330" bestFit="1" customWidth="1"/>
    <col min="13585" max="13585" width="8.88671875" style="330"/>
    <col min="13586" max="13586" width="10.33203125" style="330" bestFit="1" customWidth="1"/>
    <col min="13587" max="13819" width="8.88671875" style="330"/>
    <col min="13820" max="13820" width="9.5546875" style="330" bestFit="1" customWidth="1"/>
    <col min="13821" max="13822" width="3.5546875" style="330" bestFit="1" customWidth="1"/>
    <col min="13823" max="13823" width="5.5546875" style="330" bestFit="1" customWidth="1"/>
    <col min="13824" max="13825" width="10.6640625" style="330" bestFit="1" customWidth="1"/>
    <col min="13826" max="13826" width="9.6640625" style="330" bestFit="1" customWidth="1"/>
    <col min="13827" max="13827" width="9.6640625" style="330" customWidth="1"/>
    <col min="13828" max="13829" width="9.6640625" style="330" bestFit="1" customWidth="1"/>
    <col min="13830" max="13830" width="8.109375" style="330" bestFit="1" customWidth="1"/>
    <col min="13831" max="13835" width="9.33203125" style="330" bestFit="1" customWidth="1"/>
    <col min="13836" max="13836" width="10.6640625" style="330" bestFit="1" customWidth="1"/>
    <col min="13837" max="13838" width="10.6640625" style="330" customWidth="1"/>
    <col min="13839" max="13840" width="11.6640625" style="330" bestFit="1" customWidth="1"/>
    <col min="13841" max="13841" width="8.88671875" style="330"/>
    <col min="13842" max="13842" width="10.33203125" style="330" bestFit="1" customWidth="1"/>
    <col min="13843" max="14075" width="8.88671875" style="330"/>
    <col min="14076" max="14076" width="9.5546875" style="330" bestFit="1" customWidth="1"/>
    <col min="14077" max="14078" width="3.5546875" style="330" bestFit="1" customWidth="1"/>
    <col min="14079" max="14079" width="5.5546875" style="330" bestFit="1" customWidth="1"/>
    <col min="14080" max="14081" width="10.6640625" style="330" bestFit="1" customWidth="1"/>
    <col min="14082" max="14082" width="9.6640625" style="330" bestFit="1" customWidth="1"/>
    <col min="14083" max="14083" width="9.6640625" style="330" customWidth="1"/>
    <col min="14084" max="14085" width="9.6640625" style="330" bestFit="1" customWidth="1"/>
    <col min="14086" max="14086" width="8.109375" style="330" bestFit="1" customWidth="1"/>
    <col min="14087" max="14091" width="9.33203125" style="330" bestFit="1" customWidth="1"/>
    <col min="14092" max="14092" width="10.6640625" style="330" bestFit="1" customWidth="1"/>
    <col min="14093" max="14094" width="10.6640625" style="330" customWidth="1"/>
    <col min="14095" max="14096" width="11.6640625" style="330" bestFit="1" customWidth="1"/>
    <col min="14097" max="14097" width="8.88671875" style="330"/>
    <col min="14098" max="14098" width="10.33203125" style="330" bestFit="1" customWidth="1"/>
    <col min="14099" max="14331" width="8.88671875" style="330"/>
    <col min="14332" max="14332" width="9.5546875" style="330" bestFit="1" customWidth="1"/>
    <col min="14333" max="14334" width="3.5546875" style="330" bestFit="1" customWidth="1"/>
    <col min="14335" max="14335" width="5.5546875" style="330" bestFit="1" customWidth="1"/>
    <col min="14336" max="14337" width="10.6640625" style="330" bestFit="1" customWidth="1"/>
    <col min="14338" max="14338" width="9.6640625" style="330" bestFit="1" customWidth="1"/>
    <col min="14339" max="14339" width="9.6640625" style="330" customWidth="1"/>
    <col min="14340" max="14341" width="9.6640625" style="330" bestFit="1" customWidth="1"/>
    <col min="14342" max="14342" width="8.109375" style="330" bestFit="1" customWidth="1"/>
    <col min="14343" max="14347" width="9.33203125" style="330" bestFit="1" customWidth="1"/>
    <col min="14348" max="14348" width="10.6640625" style="330" bestFit="1" customWidth="1"/>
    <col min="14349" max="14350" width="10.6640625" style="330" customWidth="1"/>
    <col min="14351" max="14352" width="11.6640625" style="330" bestFit="1" customWidth="1"/>
    <col min="14353" max="14353" width="8.88671875" style="330"/>
    <col min="14354" max="14354" width="10.33203125" style="330" bestFit="1" customWidth="1"/>
    <col min="14355" max="14587" width="8.88671875" style="330"/>
    <col min="14588" max="14588" width="9.5546875" style="330" bestFit="1" customWidth="1"/>
    <col min="14589" max="14590" width="3.5546875" style="330" bestFit="1" customWidth="1"/>
    <col min="14591" max="14591" width="5.5546875" style="330" bestFit="1" customWidth="1"/>
    <col min="14592" max="14593" width="10.6640625" style="330" bestFit="1" customWidth="1"/>
    <col min="14594" max="14594" width="9.6640625" style="330" bestFit="1" customWidth="1"/>
    <col min="14595" max="14595" width="9.6640625" style="330" customWidth="1"/>
    <col min="14596" max="14597" width="9.6640625" style="330" bestFit="1" customWidth="1"/>
    <col min="14598" max="14598" width="8.109375" style="330" bestFit="1" customWidth="1"/>
    <col min="14599" max="14603" width="9.33203125" style="330" bestFit="1" customWidth="1"/>
    <col min="14604" max="14604" width="10.6640625" style="330" bestFit="1" customWidth="1"/>
    <col min="14605" max="14606" width="10.6640625" style="330" customWidth="1"/>
    <col min="14607" max="14608" width="11.6640625" style="330" bestFit="1" customWidth="1"/>
    <col min="14609" max="14609" width="8.88671875" style="330"/>
    <col min="14610" max="14610" width="10.33203125" style="330" bestFit="1" customWidth="1"/>
    <col min="14611" max="14843" width="8.88671875" style="330"/>
    <col min="14844" max="14844" width="9.5546875" style="330" bestFit="1" customWidth="1"/>
    <col min="14845" max="14846" width="3.5546875" style="330" bestFit="1" customWidth="1"/>
    <col min="14847" max="14847" width="5.5546875" style="330" bestFit="1" customWidth="1"/>
    <col min="14848" max="14849" width="10.6640625" style="330" bestFit="1" customWidth="1"/>
    <col min="14850" max="14850" width="9.6640625" style="330" bestFit="1" customWidth="1"/>
    <col min="14851" max="14851" width="9.6640625" style="330" customWidth="1"/>
    <col min="14852" max="14853" width="9.6640625" style="330" bestFit="1" customWidth="1"/>
    <col min="14854" max="14854" width="8.109375" style="330" bestFit="1" customWidth="1"/>
    <col min="14855" max="14859" width="9.33203125" style="330" bestFit="1" customWidth="1"/>
    <col min="14860" max="14860" width="10.6640625" style="330" bestFit="1" customWidth="1"/>
    <col min="14861" max="14862" width="10.6640625" style="330" customWidth="1"/>
    <col min="14863" max="14864" width="11.6640625" style="330" bestFit="1" customWidth="1"/>
    <col min="14865" max="14865" width="8.88671875" style="330"/>
    <col min="14866" max="14866" width="10.33203125" style="330" bestFit="1" customWidth="1"/>
    <col min="14867" max="15099" width="8.88671875" style="330"/>
    <col min="15100" max="15100" width="9.5546875" style="330" bestFit="1" customWidth="1"/>
    <col min="15101" max="15102" width="3.5546875" style="330" bestFit="1" customWidth="1"/>
    <col min="15103" max="15103" width="5.5546875" style="330" bestFit="1" customWidth="1"/>
    <col min="15104" max="15105" width="10.6640625" style="330" bestFit="1" customWidth="1"/>
    <col min="15106" max="15106" width="9.6640625" style="330" bestFit="1" customWidth="1"/>
    <col min="15107" max="15107" width="9.6640625" style="330" customWidth="1"/>
    <col min="15108" max="15109" width="9.6640625" style="330" bestFit="1" customWidth="1"/>
    <col min="15110" max="15110" width="8.109375" style="330" bestFit="1" customWidth="1"/>
    <col min="15111" max="15115" width="9.33203125" style="330" bestFit="1" customWidth="1"/>
    <col min="15116" max="15116" width="10.6640625" style="330" bestFit="1" customWidth="1"/>
    <col min="15117" max="15118" width="10.6640625" style="330" customWidth="1"/>
    <col min="15119" max="15120" width="11.6640625" style="330" bestFit="1" customWidth="1"/>
    <col min="15121" max="15121" width="8.88671875" style="330"/>
    <col min="15122" max="15122" width="10.33203125" style="330" bestFit="1" customWidth="1"/>
    <col min="15123" max="15355" width="8.88671875" style="330"/>
    <col min="15356" max="15356" width="9.5546875" style="330" bestFit="1" customWidth="1"/>
    <col min="15357" max="15358" width="3.5546875" style="330" bestFit="1" customWidth="1"/>
    <col min="15359" max="15359" width="5.5546875" style="330" bestFit="1" customWidth="1"/>
    <col min="15360" max="15361" width="10.6640625" style="330" bestFit="1" customWidth="1"/>
    <col min="15362" max="15362" width="9.6640625" style="330" bestFit="1" customWidth="1"/>
    <col min="15363" max="15363" width="9.6640625" style="330" customWidth="1"/>
    <col min="15364" max="15365" width="9.6640625" style="330" bestFit="1" customWidth="1"/>
    <col min="15366" max="15366" width="8.109375" style="330" bestFit="1" customWidth="1"/>
    <col min="15367" max="15371" width="9.33203125" style="330" bestFit="1" customWidth="1"/>
    <col min="15372" max="15372" width="10.6640625" style="330" bestFit="1" customWidth="1"/>
    <col min="15373" max="15374" width="10.6640625" style="330" customWidth="1"/>
    <col min="15375" max="15376" width="11.6640625" style="330" bestFit="1" customWidth="1"/>
    <col min="15377" max="15377" width="8.88671875" style="330"/>
    <col min="15378" max="15378" width="10.33203125" style="330" bestFit="1" customWidth="1"/>
    <col min="15379" max="15611" width="8.88671875" style="330"/>
    <col min="15612" max="15612" width="9.5546875" style="330" bestFit="1" customWidth="1"/>
    <col min="15613" max="15614" width="3.5546875" style="330" bestFit="1" customWidth="1"/>
    <col min="15615" max="15615" width="5.5546875" style="330" bestFit="1" customWidth="1"/>
    <col min="15616" max="15617" width="10.6640625" style="330" bestFit="1" customWidth="1"/>
    <col min="15618" max="15618" width="9.6640625" style="330" bestFit="1" customWidth="1"/>
    <col min="15619" max="15619" width="9.6640625" style="330" customWidth="1"/>
    <col min="15620" max="15621" width="9.6640625" style="330" bestFit="1" customWidth="1"/>
    <col min="15622" max="15622" width="8.109375" style="330" bestFit="1" customWidth="1"/>
    <col min="15623" max="15627" width="9.33203125" style="330" bestFit="1" customWidth="1"/>
    <col min="15628" max="15628" width="10.6640625" style="330" bestFit="1" customWidth="1"/>
    <col min="15629" max="15630" width="10.6640625" style="330" customWidth="1"/>
    <col min="15631" max="15632" width="11.6640625" style="330" bestFit="1" customWidth="1"/>
    <col min="15633" max="15633" width="8.88671875" style="330"/>
    <col min="15634" max="15634" width="10.33203125" style="330" bestFit="1" customWidth="1"/>
    <col min="15635" max="15867" width="8.88671875" style="330"/>
    <col min="15868" max="15868" width="9.5546875" style="330" bestFit="1" customWidth="1"/>
    <col min="15869" max="15870" width="3.5546875" style="330" bestFit="1" customWidth="1"/>
    <col min="15871" max="15871" width="5.5546875" style="330" bestFit="1" customWidth="1"/>
    <col min="15872" max="15873" width="10.6640625" style="330" bestFit="1" customWidth="1"/>
    <col min="15874" max="15874" width="9.6640625" style="330" bestFit="1" customWidth="1"/>
    <col min="15875" max="15875" width="9.6640625" style="330" customWidth="1"/>
    <col min="15876" max="15877" width="9.6640625" style="330" bestFit="1" customWidth="1"/>
    <col min="15878" max="15878" width="8.109375" style="330" bestFit="1" customWidth="1"/>
    <col min="15879" max="15883" width="9.33203125" style="330" bestFit="1" customWidth="1"/>
    <col min="15884" max="15884" width="10.6640625" style="330" bestFit="1" customWidth="1"/>
    <col min="15885" max="15886" width="10.6640625" style="330" customWidth="1"/>
    <col min="15887" max="15888" width="11.6640625" style="330" bestFit="1" customWidth="1"/>
    <col min="15889" max="15889" width="8.88671875" style="330"/>
    <col min="15890" max="15890" width="10.33203125" style="330" bestFit="1" customWidth="1"/>
    <col min="15891" max="16123" width="8.88671875" style="330"/>
    <col min="16124" max="16124" width="9.5546875" style="330" bestFit="1" customWidth="1"/>
    <col min="16125" max="16126" width="3.5546875" style="330" bestFit="1" customWidth="1"/>
    <col min="16127" max="16127" width="5.5546875" style="330" bestFit="1" customWidth="1"/>
    <col min="16128" max="16129" width="10.6640625" style="330" bestFit="1" customWidth="1"/>
    <col min="16130" max="16130" width="9.6640625" style="330" bestFit="1" customWidth="1"/>
    <col min="16131" max="16131" width="9.6640625" style="330" customWidth="1"/>
    <col min="16132" max="16133" width="9.6640625" style="330" bestFit="1" customWidth="1"/>
    <col min="16134" max="16134" width="8.109375" style="330" bestFit="1" customWidth="1"/>
    <col min="16135" max="16139" width="9.33203125" style="330" bestFit="1" customWidth="1"/>
    <col min="16140" max="16140" width="10.6640625" style="330" bestFit="1" customWidth="1"/>
    <col min="16141" max="16142" width="10.6640625" style="330" customWidth="1"/>
    <col min="16143" max="16144" width="11.6640625" style="330" bestFit="1" customWidth="1"/>
    <col min="16145" max="16145" width="8.88671875" style="330"/>
    <col min="16146" max="16146" width="10.33203125" style="330" bestFit="1" customWidth="1"/>
    <col min="16147" max="16384" width="8.88671875" style="330"/>
  </cols>
  <sheetData>
    <row r="3" spans="1:18" s="330" customFormat="1">
      <c r="A3" s="497" t="s">
        <v>58</v>
      </c>
      <c r="B3" s="502"/>
      <c r="C3" s="502"/>
      <c r="D3" s="502"/>
      <c r="E3" s="502"/>
      <c r="F3" s="502"/>
      <c r="G3" s="502"/>
      <c r="H3" s="502"/>
      <c r="I3" s="502"/>
      <c r="J3" s="502"/>
      <c r="K3" s="502"/>
      <c r="L3" s="502"/>
      <c r="M3" s="502"/>
      <c r="N3" s="502"/>
      <c r="O3" s="329"/>
      <c r="P3" s="329"/>
      <c r="Q3" s="329"/>
      <c r="R3" s="329"/>
    </row>
    <row r="4" spans="1:18" s="330" customFormat="1">
      <c r="A4" s="498" t="s">
        <v>735</v>
      </c>
      <c r="B4" s="498"/>
      <c r="C4" s="498"/>
      <c r="D4" s="498"/>
      <c r="E4" s="498"/>
      <c r="F4" s="498"/>
      <c r="G4" s="498"/>
      <c r="H4" s="498"/>
      <c r="I4" s="498"/>
      <c r="J4" s="498"/>
      <c r="K4" s="498"/>
      <c r="L4" s="498"/>
      <c r="M4" s="498"/>
      <c r="N4" s="498"/>
      <c r="O4" s="329"/>
      <c r="P4" s="329"/>
      <c r="Q4" s="329"/>
      <c r="R4" s="329"/>
    </row>
    <row r="5" spans="1:18" s="330" customFormat="1">
      <c r="A5" s="498" t="s">
        <v>596</v>
      </c>
      <c r="B5" s="498"/>
      <c r="C5" s="498"/>
      <c r="D5" s="498"/>
      <c r="E5" s="498"/>
      <c r="F5" s="498"/>
      <c r="G5" s="498"/>
      <c r="H5" s="498"/>
      <c r="I5" s="498"/>
      <c r="J5" s="498"/>
      <c r="K5" s="498"/>
      <c r="L5" s="498"/>
      <c r="M5" s="498"/>
      <c r="N5" s="498"/>
      <c r="O5" s="329"/>
      <c r="P5" s="329"/>
      <c r="Q5" s="329"/>
      <c r="R5" s="329"/>
    </row>
    <row r="7" spans="1:18" s="330" customFormat="1" ht="132.6">
      <c r="B7" s="290" t="s">
        <v>16</v>
      </c>
      <c r="C7" s="290" t="s">
        <v>17</v>
      </c>
      <c r="D7" s="290" t="s">
        <v>18</v>
      </c>
      <c r="E7" s="290" t="s">
        <v>19</v>
      </c>
      <c r="F7" s="426"/>
      <c r="G7" s="426"/>
      <c r="H7" s="427" t="s">
        <v>740</v>
      </c>
      <c r="I7" s="424" t="s">
        <v>719</v>
      </c>
      <c r="J7" s="424" t="s">
        <v>720</v>
      </c>
      <c r="K7" s="424" t="s">
        <v>721</v>
      </c>
      <c r="L7" s="424" t="s">
        <v>722</v>
      </c>
      <c r="M7" s="424" t="s">
        <v>723</v>
      </c>
      <c r="N7" s="424" t="s">
        <v>724</v>
      </c>
      <c r="O7" s="333"/>
      <c r="P7" s="333"/>
      <c r="Q7" s="329"/>
      <c r="R7" s="333"/>
    </row>
    <row r="8" spans="1:18" s="330" customFormat="1" ht="26.4" hidden="1">
      <c r="A8" s="293" t="s">
        <v>31</v>
      </c>
      <c r="B8" s="334"/>
      <c r="C8" s="334"/>
      <c r="D8" s="334"/>
      <c r="E8" s="334"/>
      <c r="F8" s="428"/>
      <c r="G8" s="428"/>
      <c r="H8" s="429" t="s">
        <v>725</v>
      </c>
      <c r="I8" s="428" t="s">
        <v>726</v>
      </c>
      <c r="J8" s="428" t="s">
        <v>727</v>
      </c>
      <c r="K8" s="428" t="s">
        <v>728</v>
      </c>
      <c r="L8" s="428" t="s">
        <v>729</v>
      </c>
      <c r="M8" s="428" t="s">
        <v>730</v>
      </c>
      <c r="N8" s="428" t="s">
        <v>731</v>
      </c>
      <c r="O8" s="329"/>
      <c r="P8" s="329"/>
      <c r="Q8" s="329"/>
      <c r="R8" s="329"/>
    </row>
    <row r="9" spans="1:18" s="330" customFormat="1" ht="15">
      <c r="B9" s="295">
        <v>2013</v>
      </c>
      <c r="C9" s="295">
        <v>1</v>
      </c>
      <c r="D9" s="295">
        <v>14</v>
      </c>
      <c r="E9" s="295">
        <v>1900</v>
      </c>
      <c r="F9" s="430"/>
      <c r="G9" s="430"/>
      <c r="H9" s="431">
        <v>2627000</v>
      </c>
      <c r="I9" s="432">
        <v>685906.2395218719</v>
      </c>
      <c r="J9" s="432">
        <v>482357.0199826376</v>
      </c>
      <c r="K9" s="432">
        <v>568006.63538260909</v>
      </c>
      <c r="L9" s="432">
        <v>422462.19297569088</v>
      </c>
      <c r="M9" s="432">
        <v>39848.206273965283</v>
      </c>
      <c r="N9" s="432">
        <v>428419.70586322516</v>
      </c>
      <c r="O9" s="329"/>
      <c r="P9" s="337"/>
      <c r="Q9" s="338"/>
      <c r="R9" s="337"/>
    </row>
    <row r="10" spans="1:18" s="330" customFormat="1" ht="14.4">
      <c r="B10" s="295">
        <v>2013</v>
      </c>
      <c r="C10" s="295">
        <v>2</v>
      </c>
      <c r="D10" s="295">
        <v>14</v>
      </c>
      <c r="E10" s="295">
        <v>800</v>
      </c>
      <c r="F10" s="430"/>
      <c r="G10" s="430"/>
      <c r="H10" s="431">
        <v>2627000</v>
      </c>
      <c r="I10" s="432">
        <v>685906.2395218719</v>
      </c>
      <c r="J10" s="432">
        <v>482357.0199826376</v>
      </c>
      <c r="K10" s="432">
        <v>568006.63538260909</v>
      </c>
      <c r="L10" s="432">
        <v>422462.19297569088</v>
      </c>
      <c r="M10" s="432">
        <v>39848.206273965283</v>
      </c>
      <c r="N10" s="432">
        <v>428419.70586322516</v>
      </c>
      <c r="O10" s="329"/>
      <c r="P10" s="337"/>
      <c r="Q10" s="329"/>
      <c r="R10" s="337"/>
    </row>
    <row r="11" spans="1:18" s="330" customFormat="1" ht="14.4">
      <c r="B11" s="295">
        <v>2013</v>
      </c>
      <c r="C11" s="295">
        <v>3</v>
      </c>
      <c r="D11" s="295">
        <v>27</v>
      </c>
      <c r="E11" s="295">
        <v>800</v>
      </c>
      <c r="F11" s="430"/>
      <c r="G11" s="430"/>
      <c r="H11" s="431">
        <v>2627000</v>
      </c>
      <c r="I11" s="432">
        <v>685906.2395218719</v>
      </c>
      <c r="J11" s="432">
        <v>482357.0199826376</v>
      </c>
      <c r="K11" s="432">
        <v>568006.63538260909</v>
      </c>
      <c r="L11" s="432">
        <v>422462.19297569088</v>
      </c>
      <c r="M11" s="432">
        <v>39848.206273965283</v>
      </c>
      <c r="N11" s="432">
        <v>428419.70586322516</v>
      </c>
      <c r="O11" s="329"/>
      <c r="P11" s="337"/>
      <c r="Q11" s="329"/>
      <c r="R11" s="337"/>
    </row>
    <row r="12" spans="1:18" s="330" customFormat="1" ht="14.4">
      <c r="B12" s="295">
        <v>2013</v>
      </c>
      <c r="C12" s="295">
        <v>4</v>
      </c>
      <c r="D12" s="295">
        <v>17</v>
      </c>
      <c r="E12" s="295">
        <v>1700</v>
      </c>
      <c r="F12" s="430"/>
      <c r="G12" s="430"/>
      <c r="H12" s="431">
        <v>2647000</v>
      </c>
      <c r="I12" s="432">
        <v>691128.21317639702</v>
      </c>
      <c r="J12" s="432">
        <v>486029.32314200298</v>
      </c>
      <c r="K12" s="432">
        <v>572331.0102237406</v>
      </c>
      <c r="L12" s="432">
        <v>425678.50202004332</v>
      </c>
      <c r="M12" s="432">
        <v>40151.580512823035</v>
      </c>
      <c r="N12" s="432">
        <v>431681.37092499319</v>
      </c>
      <c r="O12" s="329"/>
      <c r="P12" s="337"/>
      <c r="Q12" s="329"/>
      <c r="R12" s="337"/>
    </row>
    <row r="13" spans="1:18" s="330" customFormat="1" ht="14.4">
      <c r="B13" s="295">
        <v>2013</v>
      </c>
      <c r="C13" s="295">
        <v>5</v>
      </c>
      <c r="D13" s="295">
        <v>20</v>
      </c>
      <c r="E13" s="295">
        <v>1600</v>
      </c>
      <c r="F13" s="430"/>
      <c r="G13" s="430"/>
      <c r="H13" s="431">
        <v>2647000</v>
      </c>
      <c r="I13" s="432">
        <v>691128.21317639702</v>
      </c>
      <c r="J13" s="432">
        <v>486029.32314200298</v>
      </c>
      <c r="K13" s="432">
        <v>572331.0102237406</v>
      </c>
      <c r="L13" s="432">
        <v>425678.50202004332</v>
      </c>
      <c r="M13" s="432">
        <v>40151.580512823035</v>
      </c>
      <c r="N13" s="432">
        <v>431681.37092499319</v>
      </c>
      <c r="O13" s="329"/>
      <c r="P13" s="337"/>
      <c r="Q13" s="329"/>
      <c r="R13" s="337"/>
    </row>
    <row r="14" spans="1:18" s="330" customFormat="1" ht="14.4">
      <c r="B14" s="295">
        <v>2013</v>
      </c>
      <c r="C14" s="295">
        <v>6</v>
      </c>
      <c r="D14" s="295">
        <v>27</v>
      </c>
      <c r="E14" s="295">
        <v>1700</v>
      </c>
      <c r="F14" s="430"/>
      <c r="G14" s="430"/>
      <c r="H14" s="431">
        <v>2591000</v>
      </c>
      <c r="I14" s="432">
        <v>676506.68694372673</v>
      </c>
      <c r="J14" s="432">
        <v>475746.87429578003</v>
      </c>
      <c r="K14" s="432">
        <v>560222.76066857262</v>
      </c>
      <c r="L14" s="432">
        <v>416672.83669585653</v>
      </c>
      <c r="M14" s="432">
        <v>39302.132644021338</v>
      </c>
      <c r="N14" s="432">
        <v>422548.70875204279</v>
      </c>
      <c r="O14" s="329"/>
      <c r="P14" s="337"/>
      <c r="Q14" s="329"/>
      <c r="R14" s="337"/>
    </row>
    <row r="15" spans="1:18" s="330" customFormat="1" ht="14.4">
      <c r="B15" s="295">
        <v>2013</v>
      </c>
      <c r="C15" s="295">
        <v>7</v>
      </c>
      <c r="D15" s="295">
        <v>10</v>
      </c>
      <c r="E15" s="295">
        <v>1600</v>
      </c>
      <c r="F15" s="430"/>
      <c r="G15" s="430"/>
      <c r="H15" s="431">
        <v>2591000</v>
      </c>
      <c r="I15" s="432">
        <v>676506.68694372673</v>
      </c>
      <c r="J15" s="432">
        <v>475746.87429578003</v>
      </c>
      <c r="K15" s="432">
        <v>560222.76066857262</v>
      </c>
      <c r="L15" s="432">
        <v>416672.83669585653</v>
      </c>
      <c r="M15" s="432">
        <v>39302.132644021338</v>
      </c>
      <c r="N15" s="432">
        <v>422548.70875204279</v>
      </c>
      <c r="O15" s="329"/>
      <c r="P15" s="337"/>
      <c r="Q15" s="329"/>
      <c r="R15" s="337"/>
    </row>
    <row r="16" spans="1:18" s="330" customFormat="1" ht="14.4">
      <c r="B16" s="295">
        <v>2013</v>
      </c>
      <c r="C16" s="295">
        <v>8</v>
      </c>
      <c r="D16" s="295">
        <v>8</v>
      </c>
      <c r="E16" s="295">
        <v>1700</v>
      </c>
      <c r="F16" s="430"/>
      <c r="G16" s="430"/>
      <c r="H16" s="431">
        <v>2591000</v>
      </c>
      <c r="I16" s="432">
        <v>676506.68694372673</v>
      </c>
      <c r="J16" s="432">
        <v>475746.87429578003</v>
      </c>
      <c r="K16" s="432">
        <v>560222.76066857262</v>
      </c>
      <c r="L16" s="432">
        <v>416672.83669585653</v>
      </c>
      <c r="M16" s="432">
        <v>39302.132644021338</v>
      </c>
      <c r="N16" s="432">
        <v>422548.70875204279</v>
      </c>
      <c r="O16" s="329"/>
      <c r="P16" s="337"/>
      <c r="Q16" s="329"/>
      <c r="R16" s="337"/>
    </row>
    <row r="17" spans="1:18" s="330" customFormat="1" ht="14.4">
      <c r="B17" s="295">
        <v>2013</v>
      </c>
      <c r="C17" s="295">
        <v>9</v>
      </c>
      <c r="D17" s="295">
        <v>3</v>
      </c>
      <c r="E17" s="295">
        <v>1600</v>
      </c>
      <c r="F17" s="430"/>
      <c r="G17" s="430"/>
      <c r="H17" s="431">
        <v>2591000</v>
      </c>
      <c r="I17" s="432">
        <v>676506.68694372673</v>
      </c>
      <c r="J17" s="432">
        <v>475746.87429578003</v>
      </c>
      <c r="K17" s="432">
        <v>560222.76066857262</v>
      </c>
      <c r="L17" s="432">
        <v>416672.83669585653</v>
      </c>
      <c r="M17" s="432">
        <v>39302.132644021338</v>
      </c>
      <c r="N17" s="432">
        <v>422548.70875204279</v>
      </c>
      <c r="O17" s="329"/>
      <c r="P17" s="337"/>
      <c r="Q17" s="329"/>
      <c r="R17" s="337"/>
    </row>
    <row r="18" spans="1:18" s="330" customFormat="1" ht="14.4">
      <c r="B18" s="295">
        <v>2013</v>
      </c>
      <c r="C18" s="295">
        <v>10</v>
      </c>
      <c r="D18" s="295">
        <v>3</v>
      </c>
      <c r="E18" s="295">
        <v>1600</v>
      </c>
      <c r="F18" s="430"/>
      <c r="G18" s="430"/>
      <c r="H18" s="431">
        <v>2591000</v>
      </c>
      <c r="I18" s="432">
        <v>676506.68694372673</v>
      </c>
      <c r="J18" s="432">
        <v>475746.87429578003</v>
      </c>
      <c r="K18" s="432">
        <v>560222.76066857262</v>
      </c>
      <c r="L18" s="432">
        <v>416672.83669585653</v>
      </c>
      <c r="M18" s="432">
        <v>39302.132644021338</v>
      </c>
      <c r="N18" s="432">
        <v>422548.70875204279</v>
      </c>
      <c r="O18" s="329"/>
      <c r="P18" s="337"/>
      <c r="Q18" s="329"/>
      <c r="R18" s="337"/>
    </row>
    <row r="19" spans="1:18" s="330" customFormat="1" ht="14.4">
      <c r="B19" s="295">
        <v>2013</v>
      </c>
      <c r="C19" s="295">
        <v>11</v>
      </c>
      <c r="D19" s="295">
        <v>28</v>
      </c>
      <c r="E19" s="295">
        <v>900</v>
      </c>
      <c r="F19" s="430"/>
      <c r="G19" s="430"/>
      <c r="H19" s="431">
        <v>2591000</v>
      </c>
      <c r="I19" s="432">
        <v>676506.68694372673</v>
      </c>
      <c r="J19" s="432">
        <v>475746.87429578003</v>
      </c>
      <c r="K19" s="432">
        <v>560222.76066857262</v>
      </c>
      <c r="L19" s="432">
        <v>416672.83669585653</v>
      </c>
      <c r="M19" s="432">
        <v>39302.132644021338</v>
      </c>
      <c r="N19" s="432">
        <v>422548.70875204279</v>
      </c>
      <c r="O19" s="329"/>
      <c r="P19" s="337"/>
      <c r="Q19" s="329"/>
      <c r="R19" s="337"/>
    </row>
    <row r="20" spans="1:18" s="330" customFormat="1" ht="14.4">
      <c r="B20" s="295">
        <v>2013</v>
      </c>
      <c r="C20" s="295">
        <v>12</v>
      </c>
      <c r="D20" s="295">
        <v>16</v>
      </c>
      <c r="E20" s="295">
        <v>800</v>
      </c>
      <c r="F20" s="433"/>
      <c r="G20" s="433"/>
      <c r="H20" s="434">
        <v>2591000</v>
      </c>
      <c r="I20" s="435">
        <v>676506.68694372673</v>
      </c>
      <c r="J20" s="435">
        <v>475746.87429578003</v>
      </c>
      <c r="K20" s="435">
        <v>560222.76066857262</v>
      </c>
      <c r="L20" s="435">
        <v>416672.83669585653</v>
      </c>
      <c r="M20" s="435">
        <v>39302.132644021338</v>
      </c>
      <c r="N20" s="435">
        <v>422548.70875204279</v>
      </c>
      <c r="O20" s="329"/>
      <c r="P20" s="337"/>
      <c r="Q20" s="329"/>
      <c r="R20" s="337"/>
    </row>
    <row r="21" spans="1:18" s="330" customFormat="1" ht="9" customHeight="1">
      <c r="F21" s="433"/>
      <c r="G21" s="433"/>
      <c r="H21" s="433"/>
      <c r="I21" s="433"/>
      <c r="J21" s="433"/>
      <c r="K21" s="433"/>
      <c r="L21" s="433"/>
      <c r="M21" s="433"/>
      <c r="N21" s="430"/>
      <c r="O21" s="329"/>
      <c r="P21" s="329"/>
      <c r="Q21" s="329"/>
      <c r="R21" s="329"/>
    </row>
    <row r="22" spans="1:18" s="330" customFormat="1" ht="13.8" thickBot="1">
      <c r="D22" s="496" t="s">
        <v>40</v>
      </c>
      <c r="E22" s="496"/>
      <c r="F22" s="436"/>
      <c r="G22" s="437"/>
      <c r="H22" s="438">
        <v>31312000</v>
      </c>
      <c r="I22" s="438">
        <v>8175521.9535244964</v>
      </c>
      <c r="J22" s="438">
        <v>5749357.8263023803</v>
      </c>
      <c r="K22" s="438">
        <v>6770241.2512753187</v>
      </c>
      <c r="L22" s="438">
        <v>5035453.4398381542</v>
      </c>
      <c r="M22" s="438">
        <v>474962.7083556914</v>
      </c>
      <c r="N22" s="438">
        <v>5106462.82070396</v>
      </c>
      <c r="O22" s="337"/>
      <c r="P22" s="337"/>
      <c r="Q22" s="329"/>
      <c r="R22" s="329"/>
    </row>
    <row r="23" spans="1:18" s="330" customFormat="1" ht="13.8" thickTop="1">
      <c r="E23" s="340"/>
      <c r="F23" s="439"/>
      <c r="G23" s="439"/>
      <c r="H23" s="440">
        <v>0</v>
      </c>
      <c r="I23" s="440">
        <v>0</v>
      </c>
      <c r="J23" s="440">
        <v>0</v>
      </c>
      <c r="K23" s="440">
        <v>0</v>
      </c>
      <c r="L23" s="440">
        <v>0</v>
      </c>
      <c r="M23" s="440">
        <v>0</v>
      </c>
      <c r="N23" s="440">
        <v>0</v>
      </c>
      <c r="O23" s="337"/>
      <c r="P23" s="337"/>
      <c r="Q23" s="329"/>
      <c r="R23" s="329"/>
    </row>
    <row r="24" spans="1:18" s="330" customFormat="1" ht="15" customHeight="1">
      <c r="C24" s="496" t="s">
        <v>674</v>
      </c>
      <c r="D24" s="496"/>
      <c r="E24" s="496"/>
      <c r="F24" s="439"/>
      <c r="G24" s="439"/>
      <c r="H24" s="439"/>
      <c r="I24" s="439"/>
      <c r="J24" s="439"/>
      <c r="K24" s="439"/>
      <c r="L24" s="439"/>
      <c r="M24" s="439"/>
      <c r="N24" s="439"/>
      <c r="O24" s="337"/>
      <c r="P24" s="337"/>
      <c r="Q24" s="329"/>
      <c r="R24" s="337"/>
    </row>
    <row r="25" spans="1:18" s="330" customFormat="1" ht="14.4">
      <c r="E25" s="340"/>
      <c r="F25"/>
      <c r="G25" s="441" t="s">
        <v>732</v>
      </c>
      <c r="H25" s="441" t="s">
        <v>40</v>
      </c>
      <c r="I25" s="441" t="s">
        <v>43</v>
      </c>
      <c r="J25" s="441" t="s">
        <v>44</v>
      </c>
      <c r="K25" s="441" t="s">
        <v>45</v>
      </c>
      <c r="L25" s="441" t="s">
        <v>46</v>
      </c>
      <c r="M25" s="441" t="s">
        <v>47</v>
      </c>
      <c r="N25" s="441" t="s">
        <v>48</v>
      </c>
      <c r="O25" s="337"/>
      <c r="P25" s="337"/>
      <c r="Q25" s="329"/>
      <c r="R25" s="329"/>
    </row>
    <row r="26" spans="1:18" s="329" customFormat="1" ht="14.4">
      <c r="A26" s="499" t="s">
        <v>733</v>
      </c>
      <c r="B26" s="499"/>
      <c r="C26" s="499"/>
      <c r="D26" s="499"/>
      <c r="E26" s="499"/>
      <c r="F26" s="499"/>
      <c r="G26" s="450" t="s">
        <v>313</v>
      </c>
      <c r="H26" s="432">
        <v>5810170185.3999996</v>
      </c>
      <c r="I26" s="432">
        <v>1527970107.95</v>
      </c>
      <c r="J26" s="432">
        <v>1068582307.5</v>
      </c>
      <c r="K26" s="432">
        <v>1256106502.8899999</v>
      </c>
      <c r="L26" s="432">
        <v>926236016.32000005</v>
      </c>
      <c r="M26" s="432">
        <v>89641045.810000002</v>
      </c>
      <c r="N26" s="432">
        <v>941634204.92999983</v>
      </c>
      <c r="P26" s="337"/>
    </row>
    <row r="27" spans="1:18" s="330" customFormat="1" ht="14.4">
      <c r="A27" s="499" t="s">
        <v>180</v>
      </c>
      <c r="B27" s="499"/>
      <c r="C27" s="499"/>
      <c r="D27" s="499"/>
      <c r="E27" s="499"/>
      <c r="F27" s="499"/>
      <c r="G27" s="451" t="s">
        <v>494</v>
      </c>
      <c r="H27" s="435">
        <v>134428000.16</v>
      </c>
      <c r="I27" s="435">
        <v>46041299.889999993</v>
      </c>
      <c r="J27" s="435">
        <v>26430009.57</v>
      </c>
      <c r="K27" s="435">
        <v>28904667.360000007</v>
      </c>
      <c r="L27" s="435">
        <v>13488970.130000001</v>
      </c>
      <c r="M27" s="435">
        <v>3547347.5399999996</v>
      </c>
      <c r="N27" s="435">
        <v>16015705.67</v>
      </c>
      <c r="O27" s="329"/>
      <c r="P27" s="329"/>
      <c r="Q27" s="329"/>
      <c r="R27" s="329"/>
    </row>
    <row r="28" spans="1:18" s="330" customFormat="1" ht="15" thickBot="1">
      <c r="A28" s="500" t="s">
        <v>181</v>
      </c>
      <c r="B28" s="500"/>
      <c r="C28" s="500"/>
      <c r="D28" s="500"/>
      <c r="E28" s="500"/>
      <c r="F28" s="500"/>
      <c r="G28" s="442"/>
      <c r="H28" s="443">
        <v>5675742185.2399998</v>
      </c>
      <c r="I28" s="443">
        <v>1481928808.0599999</v>
      </c>
      <c r="J28" s="443">
        <v>1042152297.9299999</v>
      </c>
      <c r="K28" s="443">
        <v>1227201835.53</v>
      </c>
      <c r="L28" s="443">
        <v>912747046.19000006</v>
      </c>
      <c r="M28" s="443">
        <v>86093698.269999996</v>
      </c>
      <c r="N28" s="443">
        <v>925618499.25999987</v>
      </c>
      <c r="O28" s="329"/>
      <c r="P28" s="329"/>
      <c r="Q28" s="329"/>
      <c r="R28" s="329"/>
    </row>
    <row r="29" spans="1:18" s="330" customFormat="1" ht="15" thickTop="1">
      <c r="A29" s="501" t="s">
        <v>734</v>
      </c>
      <c r="B29" s="501"/>
      <c r="C29" s="501"/>
      <c r="D29" s="501"/>
      <c r="E29" s="501"/>
      <c r="F29" s="501"/>
      <c r="G29" s="442"/>
      <c r="H29" s="444">
        <v>1</v>
      </c>
      <c r="I29" s="445">
        <v>0.26109868272625503</v>
      </c>
      <c r="J29" s="445">
        <v>0.18361515796826708</v>
      </c>
      <c r="K29" s="445">
        <v>0.21621874205656991</v>
      </c>
      <c r="L29" s="445">
        <v>0.1608154522176212</v>
      </c>
      <c r="M29" s="445">
        <v>1.5168711942887433E-2</v>
      </c>
      <c r="N29" s="445">
        <v>0.16308325308839938</v>
      </c>
      <c r="O29" s="329"/>
      <c r="P29" s="329"/>
      <c r="Q29" s="329"/>
      <c r="R29" s="329"/>
    </row>
    <row r="30" spans="1:18" s="330" customFormat="1">
      <c r="F30" s="439"/>
      <c r="G30" s="439"/>
      <c r="H30" s="446"/>
      <c r="I30" s="446"/>
      <c r="J30" s="446"/>
      <c r="K30" s="447"/>
      <c r="L30" s="448"/>
      <c r="M30" s="448"/>
      <c r="N30" s="449"/>
      <c r="O30" s="329"/>
      <c r="P30" s="329"/>
      <c r="Q30" s="329"/>
      <c r="R30" s="329"/>
    </row>
    <row r="31" spans="1:18" s="330" customFormat="1">
      <c r="B31" s="330" t="s">
        <v>646</v>
      </c>
      <c r="O31" s="329"/>
      <c r="P31" s="329"/>
      <c r="Q31" s="329"/>
      <c r="R31" s="329"/>
    </row>
    <row r="32" spans="1:18" s="330" customFormat="1">
      <c r="A32" s="452" t="s">
        <v>712</v>
      </c>
      <c r="B32" s="329"/>
      <c r="O32" s="329"/>
      <c r="P32" s="329"/>
      <c r="Q32" s="329"/>
      <c r="R32" s="329"/>
    </row>
    <row r="33" spans="1:2" s="330" customFormat="1">
      <c r="A33" s="453" t="s">
        <v>14</v>
      </c>
      <c r="B33" s="330" t="s">
        <v>742</v>
      </c>
    </row>
    <row r="34" spans="1:2" s="330" customFormat="1">
      <c r="A34" s="453"/>
    </row>
  </sheetData>
  <mergeCells count="9">
    <mergeCell ref="A27:F27"/>
    <mergeCell ref="A28:F28"/>
    <mergeCell ref="A29:F29"/>
    <mergeCell ref="A3:N3"/>
    <mergeCell ref="A4:N4"/>
    <mergeCell ref="A5:N5"/>
    <mergeCell ref="D22:E22"/>
    <mergeCell ref="C24:E24"/>
    <mergeCell ref="A26:F26"/>
  </mergeCells>
  <pageMargins left="0.7" right="0.7" top="0.75" bottom="0.75" header="0.3" footer="0.3"/>
  <pageSetup scale="84" orientation="landscape" r:id="rId1"/>
  <headerFooter>
    <oddFooter>&amp;RWP 10a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1"/>
  <sheetViews>
    <sheetView workbookViewId="0">
      <selection activeCell="B33" sqref="B33"/>
    </sheetView>
  </sheetViews>
  <sheetFormatPr defaultColWidth="9.109375" defaultRowHeight="13.2"/>
  <cols>
    <col min="1" max="1" width="17.6640625" style="55" customWidth="1"/>
    <col min="2" max="3" width="9.109375" style="55"/>
    <col min="4" max="4" width="13.88671875" style="55" customWidth="1"/>
    <col min="5" max="5" width="12.44140625" style="55" customWidth="1"/>
    <col min="6" max="6" width="2.88671875" style="55" customWidth="1"/>
    <col min="7" max="7" width="13" style="55" customWidth="1"/>
    <col min="8" max="16384" width="9.109375" style="55"/>
  </cols>
  <sheetData>
    <row r="1" spans="1:8">
      <c r="A1" s="31"/>
      <c r="H1" s="121"/>
    </row>
    <row r="2" spans="1:8">
      <c r="E2" s="135"/>
    </row>
    <row r="3" spans="1:8">
      <c r="A3" s="52" t="s">
        <v>58</v>
      </c>
      <c r="B3" s="53"/>
      <c r="C3" s="54"/>
      <c r="D3" s="54"/>
      <c r="E3" s="54"/>
    </row>
    <row r="4" spans="1:8">
      <c r="A4" s="52" t="s">
        <v>101</v>
      </c>
      <c r="B4" s="53"/>
      <c r="C4" s="54"/>
      <c r="D4" s="54"/>
      <c r="E4" s="54"/>
    </row>
    <row r="5" spans="1:8">
      <c r="A5" s="52" t="s">
        <v>684</v>
      </c>
      <c r="B5" s="53"/>
      <c r="C5" s="54"/>
      <c r="D5" s="54"/>
      <c r="E5" s="54"/>
    </row>
    <row r="8" spans="1:8">
      <c r="D8" s="56" t="s">
        <v>102</v>
      </c>
      <c r="E8" s="56" t="s">
        <v>103</v>
      </c>
    </row>
    <row r="9" spans="1:8">
      <c r="A9" s="57" t="s">
        <v>104</v>
      </c>
      <c r="D9" s="58">
        <v>0.35</v>
      </c>
      <c r="E9" s="59">
        <v>6.5000000000000002E-2</v>
      </c>
      <c r="F9" s="60"/>
    </row>
    <row r="10" spans="1:8">
      <c r="A10" s="57" t="s">
        <v>105</v>
      </c>
      <c r="D10" s="58">
        <v>0.35</v>
      </c>
      <c r="E10" s="59">
        <v>0.08</v>
      </c>
      <c r="F10" s="61" t="s">
        <v>106</v>
      </c>
    </row>
    <row r="11" spans="1:8">
      <c r="A11" s="57" t="s">
        <v>107</v>
      </c>
      <c r="D11" s="58">
        <v>0.35</v>
      </c>
      <c r="E11" s="59">
        <v>0.05</v>
      </c>
    </row>
    <row r="12" spans="1:8">
      <c r="A12" s="55" t="s">
        <v>108</v>
      </c>
      <c r="D12" s="58">
        <v>0.35</v>
      </c>
      <c r="E12" s="59">
        <v>0</v>
      </c>
    </row>
    <row r="13" spans="1:8">
      <c r="E13" s="59"/>
    </row>
    <row r="14" spans="1:8">
      <c r="E14" s="59"/>
    </row>
    <row r="15" spans="1:8">
      <c r="E15" s="59"/>
    </row>
    <row r="16" spans="1:8">
      <c r="E16" s="59"/>
    </row>
    <row r="17" spans="1:5">
      <c r="E17" s="59"/>
    </row>
    <row r="18" spans="1:5">
      <c r="E18" s="59"/>
    </row>
    <row r="19" spans="1:5">
      <c r="E19" s="59"/>
    </row>
    <row r="20" spans="1:5">
      <c r="E20" s="59"/>
    </row>
    <row r="21" spans="1:5">
      <c r="E21" s="59"/>
    </row>
    <row r="22" spans="1:5">
      <c r="E22" s="59"/>
    </row>
    <row r="23" spans="1:5">
      <c r="E23" s="59"/>
    </row>
    <row r="26" spans="1:5">
      <c r="A26" s="62" t="s">
        <v>109</v>
      </c>
    </row>
    <row r="31" spans="1:5">
      <c r="B31" s="55" t="s">
        <v>646</v>
      </c>
    </row>
  </sheetData>
  <phoneticPr fontId="42" type="noConversion"/>
  <printOptions horizontalCentered="1"/>
  <pageMargins left="0.75" right="0.75" top="1" bottom="1" header="0.5" footer="0.5"/>
  <pageSetup orientation="portrait" r:id="rId1"/>
  <headerFooter alignWithMargins="0">
    <oddFooter>&amp;R&amp;"Arial,Regular"&amp;10&amp;A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31"/>
  <sheetViews>
    <sheetView topLeftCell="A7" workbookViewId="0">
      <selection activeCell="B33" sqref="B33"/>
    </sheetView>
  </sheetViews>
  <sheetFormatPr defaultRowHeight="14.4"/>
  <cols>
    <col min="1" max="1" width="27" customWidth="1"/>
    <col min="2" max="2" width="1.6640625" customWidth="1"/>
    <col min="3" max="3" width="10.88671875" bestFit="1" customWidth="1"/>
    <col min="4" max="4" width="2" customWidth="1"/>
    <col min="5" max="5" width="9.88671875" customWidth="1"/>
    <col min="6" max="6" width="2.33203125" customWidth="1"/>
    <col min="7" max="7" width="9.88671875" customWidth="1"/>
    <col min="8" max="8" width="2.33203125" customWidth="1"/>
    <col min="9" max="9" width="9.88671875" customWidth="1"/>
    <col min="10" max="10" width="2.33203125" customWidth="1"/>
    <col min="11" max="11" width="8.33203125" customWidth="1"/>
    <col min="12" max="12" width="2.33203125" customWidth="1"/>
    <col min="13" max="13" width="9.88671875" customWidth="1"/>
    <col min="14" max="14" width="2.33203125" customWidth="1"/>
  </cols>
  <sheetData>
    <row r="1" spans="1:13">
      <c r="A1" s="31"/>
      <c r="M1" s="135"/>
    </row>
    <row r="3" spans="1:13">
      <c r="A3" s="503" t="s">
        <v>58</v>
      </c>
      <c r="B3" s="503"/>
      <c r="C3" s="503"/>
      <c r="D3" s="503"/>
      <c r="E3" s="503"/>
      <c r="F3" s="503"/>
      <c r="G3" s="503"/>
      <c r="H3" s="503"/>
      <c r="I3" s="503"/>
      <c r="J3" s="503"/>
      <c r="K3" s="503"/>
      <c r="L3" s="503"/>
      <c r="M3" s="503"/>
    </row>
    <row r="4" spans="1:13">
      <c r="A4" s="503" t="s">
        <v>59</v>
      </c>
      <c r="B4" s="503"/>
      <c r="C4" s="503"/>
      <c r="D4" s="503"/>
      <c r="E4" s="503"/>
      <c r="F4" s="503"/>
      <c r="G4" s="503"/>
      <c r="H4" s="503"/>
      <c r="I4" s="503"/>
      <c r="J4" s="503"/>
      <c r="K4" s="503"/>
      <c r="L4" s="503"/>
      <c r="M4" s="503"/>
    </row>
    <row r="5" spans="1:13">
      <c r="A5" s="503" t="s">
        <v>60</v>
      </c>
      <c r="B5" s="503"/>
      <c r="C5" s="503"/>
      <c r="D5" s="503"/>
      <c r="E5" s="503"/>
      <c r="F5" s="503"/>
      <c r="G5" s="503"/>
      <c r="H5" s="503"/>
      <c r="I5" s="503"/>
      <c r="J5" s="503"/>
      <c r="K5" s="503"/>
      <c r="L5" s="503"/>
      <c r="M5" s="503"/>
    </row>
    <row r="6" spans="1:13">
      <c r="A6" s="503" t="s">
        <v>648</v>
      </c>
      <c r="B6" s="503"/>
      <c r="C6" s="503"/>
      <c r="D6" s="503"/>
      <c r="E6" s="503"/>
      <c r="F6" s="503"/>
      <c r="G6" s="503"/>
      <c r="H6" s="503"/>
      <c r="I6" s="503"/>
      <c r="J6" s="503"/>
      <c r="K6" s="503"/>
      <c r="L6" s="503"/>
      <c r="M6" s="503"/>
    </row>
    <row r="8" spans="1:13" ht="15" thickBot="1"/>
    <row r="9" spans="1:13" s="27" customFormat="1">
      <c r="A9" s="26" t="s">
        <v>61</v>
      </c>
      <c r="C9" s="29" t="s">
        <v>43</v>
      </c>
      <c r="E9" s="26" t="s">
        <v>44</v>
      </c>
      <c r="G9" s="26" t="s">
        <v>45</v>
      </c>
      <c r="I9" s="26" t="s">
        <v>46</v>
      </c>
      <c r="K9" s="28" t="s">
        <v>47</v>
      </c>
      <c r="M9" s="26" t="s">
        <v>48</v>
      </c>
    </row>
    <row r="10" spans="1:13" ht="8.25" customHeight="1">
      <c r="C10" s="30"/>
    </row>
    <row r="11" spans="1:13">
      <c r="A11" t="s">
        <v>62</v>
      </c>
      <c r="C11" s="82">
        <v>10162141.65</v>
      </c>
      <c r="D11" s="83"/>
      <c r="E11" s="83">
        <v>7172324.6500000004</v>
      </c>
      <c r="F11" s="83"/>
      <c r="G11" s="83">
        <v>8245529</v>
      </c>
      <c r="H11" s="83"/>
      <c r="I11" s="83">
        <v>1728435.74</v>
      </c>
      <c r="J11" s="83"/>
      <c r="K11" s="83">
        <v>715848.45000000007</v>
      </c>
      <c r="L11" s="83"/>
      <c r="M11" s="83">
        <v>1837464</v>
      </c>
    </row>
    <row r="12" spans="1:13">
      <c r="A12" t="s">
        <v>63</v>
      </c>
      <c r="C12" s="82">
        <v>199.54000000000002</v>
      </c>
      <c r="D12" s="83"/>
      <c r="E12" s="83">
        <v>184.01</v>
      </c>
      <c r="F12" s="83"/>
      <c r="G12" s="83">
        <v>204.20999999999998</v>
      </c>
      <c r="H12" s="83"/>
      <c r="I12" s="83">
        <v>31.540000000000003</v>
      </c>
      <c r="J12" s="83"/>
      <c r="K12" s="83">
        <v>11.41</v>
      </c>
      <c r="L12" s="83"/>
      <c r="M12" s="83">
        <v>29.52</v>
      </c>
    </row>
    <row r="13" spans="1:13">
      <c r="A13" t="s">
        <v>64</v>
      </c>
      <c r="C13" s="82">
        <v>66.94</v>
      </c>
      <c r="D13" s="83"/>
      <c r="E13" s="83">
        <v>59.23</v>
      </c>
      <c r="F13" s="83"/>
      <c r="G13" s="83">
        <v>68.55</v>
      </c>
      <c r="H13" s="83"/>
      <c r="I13" s="83">
        <v>15.61</v>
      </c>
      <c r="J13" s="83"/>
      <c r="K13" s="83">
        <v>6.37</v>
      </c>
      <c r="L13" s="83"/>
      <c r="M13" s="83">
        <v>16.25</v>
      </c>
    </row>
    <row r="14" spans="1:13">
      <c r="A14" t="s">
        <v>65</v>
      </c>
      <c r="C14" s="82">
        <v>728350.81</v>
      </c>
      <c r="D14" s="83"/>
      <c r="E14" s="83">
        <v>541561.93999999994</v>
      </c>
      <c r="F14" s="83"/>
      <c r="G14" s="83">
        <v>800944.0199999999</v>
      </c>
      <c r="H14" s="83"/>
      <c r="I14" s="83">
        <v>350097.28</v>
      </c>
      <c r="J14" s="83"/>
      <c r="K14" s="83">
        <v>134244.29999999999</v>
      </c>
      <c r="L14" s="83"/>
      <c r="M14" s="83">
        <v>357416.18000000005</v>
      </c>
    </row>
    <row r="15" spans="1:13">
      <c r="A15" t="s">
        <v>66</v>
      </c>
      <c r="C15" s="82">
        <v>70444.87999999999</v>
      </c>
      <c r="D15" s="83"/>
      <c r="E15" s="83">
        <v>52629.14</v>
      </c>
      <c r="F15" s="83"/>
      <c r="G15" s="83">
        <v>81317.959999999992</v>
      </c>
      <c r="H15" s="83"/>
      <c r="I15" s="83">
        <v>31964.09</v>
      </c>
      <c r="J15" s="83"/>
      <c r="K15" s="83">
        <v>12565.150000000001</v>
      </c>
      <c r="L15" s="83"/>
      <c r="M15" s="83">
        <v>33846.879999999997</v>
      </c>
    </row>
    <row r="16" spans="1:13">
      <c r="A16" t="s">
        <v>67</v>
      </c>
      <c r="C16" s="82">
        <v>380.65000000000003</v>
      </c>
      <c r="D16" s="83"/>
      <c r="E16" s="83">
        <v>279.77999999999997</v>
      </c>
      <c r="F16" s="83"/>
      <c r="G16" s="83">
        <v>417.16</v>
      </c>
      <c r="H16" s="83"/>
      <c r="I16" s="83">
        <v>190.12</v>
      </c>
      <c r="J16" s="83"/>
      <c r="K16" s="83">
        <v>73.08</v>
      </c>
      <c r="L16" s="83"/>
      <c r="M16" s="83">
        <v>194.01000000000002</v>
      </c>
    </row>
    <row r="17" spans="1:13" ht="15" thickBot="1">
      <c r="A17" t="s">
        <v>68</v>
      </c>
      <c r="C17" s="84">
        <f>SUM(C11:C16)</f>
        <v>10961584.470000001</v>
      </c>
      <c r="D17" s="83"/>
      <c r="E17" s="85">
        <f>SUM(E11:E16)</f>
        <v>7767038.75</v>
      </c>
      <c r="F17" s="83"/>
      <c r="G17" s="85">
        <f>SUM(G11:G16)</f>
        <v>9128480.9000000004</v>
      </c>
      <c r="H17" s="83"/>
      <c r="I17" s="85">
        <f>SUM(I11:I16)</f>
        <v>2110734.3800000004</v>
      </c>
      <c r="J17" s="83"/>
      <c r="K17" s="85">
        <f>SUM(K11:K16)</f>
        <v>862748.76</v>
      </c>
      <c r="L17" s="83"/>
      <c r="M17" s="85">
        <f>SUM(M11:M16)</f>
        <v>2228966.84</v>
      </c>
    </row>
    <row r="31" spans="1:13">
      <c r="B31" t="s">
        <v>646</v>
      </c>
    </row>
  </sheetData>
  <mergeCells count="4">
    <mergeCell ref="A3:M3"/>
    <mergeCell ref="A4:M4"/>
    <mergeCell ref="A5:M5"/>
    <mergeCell ref="A6:M6"/>
  </mergeCells>
  <phoneticPr fontId="42" type="noConversion"/>
  <pageMargins left="0.7" right="0.7" top="0.75" bottom="0.75" header="0.3" footer="0.3"/>
  <pageSetup scale="70" orientation="portrait" r:id="rId1"/>
  <headerFooter>
    <oddFooter>&amp;R&amp;"Arial,Regular"&amp;10&amp;A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32"/>
  <sheetViews>
    <sheetView topLeftCell="A7" workbookViewId="0">
      <selection activeCell="B28" sqref="B28"/>
    </sheetView>
  </sheetViews>
  <sheetFormatPr defaultColWidth="9.109375" defaultRowHeight="13.2"/>
  <cols>
    <col min="1" max="1" width="3" style="239" bestFit="1" customWidth="1"/>
    <col min="2" max="2" width="23" style="239" customWidth="1"/>
    <col min="3" max="3" width="19.5546875" style="239" bestFit="1" customWidth="1"/>
    <col min="4" max="4" width="0.88671875" style="239" customWidth="1"/>
    <col min="5" max="5" width="14.109375" style="239" bestFit="1" customWidth="1"/>
    <col min="6" max="6" width="14.5546875" style="239" bestFit="1" customWidth="1"/>
    <col min="7" max="7" width="15" style="239" bestFit="1" customWidth="1"/>
    <col min="8" max="8" width="14.5546875" style="239" bestFit="1" customWidth="1"/>
    <col min="9" max="9" width="9.5546875" style="239" bestFit="1" customWidth="1"/>
    <col min="10" max="10" width="15" style="239" bestFit="1" customWidth="1"/>
    <col min="11" max="16384" width="9.109375" style="239"/>
  </cols>
  <sheetData>
    <row r="1" spans="1:10">
      <c r="A1" s="124"/>
      <c r="J1" s="135"/>
    </row>
    <row r="2" spans="1:10">
      <c r="A2" s="504" t="s">
        <v>0</v>
      </c>
      <c r="B2" s="504"/>
      <c r="C2" s="504"/>
      <c r="D2" s="504"/>
      <c r="E2" s="504"/>
    </row>
    <row r="3" spans="1:10">
      <c r="A3" s="504" t="s">
        <v>110</v>
      </c>
      <c r="B3" s="504"/>
      <c r="C3" s="504"/>
      <c r="D3" s="504"/>
      <c r="E3" s="504"/>
      <c r="F3" s="350"/>
      <c r="G3" s="350"/>
      <c r="H3" s="350"/>
      <c r="I3" s="350"/>
      <c r="J3" s="350"/>
    </row>
    <row r="4" spans="1:10">
      <c r="A4" s="504" t="s">
        <v>111</v>
      </c>
      <c r="B4" s="504"/>
      <c r="C4" s="504"/>
      <c r="D4" s="504"/>
      <c r="E4" s="504"/>
      <c r="F4" s="504"/>
      <c r="G4" s="504"/>
      <c r="H4" s="504"/>
      <c r="I4" s="504"/>
      <c r="J4" s="504"/>
    </row>
    <row r="5" spans="1:10">
      <c r="A5" s="504" t="s">
        <v>616</v>
      </c>
      <c r="B5" s="504"/>
      <c r="C5" s="504"/>
      <c r="D5" s="504"/>
      <c r="E5" s="504"/>
      <c r="F5" s="504"/>
      <c r="G5" s="504"/>
      <c r="H5" s="504"/>
      <c r="I5" s="504"/>
      <c r="J5" s="504"/>
    </row>
    <row r="7" spans="1:10" ht="16.8">
      <c r="A7" s="352" t="s">
        <v>140</v>
      </c>
      <c r="C7" s="239" t="s">
        <v>717</v>
      </c>
      <c r="E7" s="351" t="s">
        <v>43</v>
      </c>
    </row>
    <row r="8" spans="1:10">
      <c r="A8" s="239">
        <v>1</v>
      </c>
      <c r="B8" s="239" t="s">
        <v>113</v>
      </c>
      <c r="C8" s="239" t="s">
        <v>718</v>
      </c>
      <c r="E8" s="240">
        <f>'WP 13a'!C6</f>
        <v>16759097.959999999</v>
      </c>
    </row>
    <row r="9" spans="1:10" ht="15">
      <c r="A9" s="239">
        <v>2</v>
      </c>
      <c r="B9" s="239" t="s">
        <v>114</v>
      </c>
      <c r="C9" s="239" t="s">
        <v>718</v>
      </c>
      <c r="E9" s="306">
        <f>-'WP 13a'!C15</f>
        <v>-349362.90053458844</v>
      </c>
    </row>
    <row r="10" spans="1:10">
      <c r="A10" s="239">
        <v>3</v>
      </c>
      <c r="B10" s="239" t="s">
        <v>115</v>
      </c>
      <c r="C10" s="239" t="s">
        <v>138</v>
      </c>
      <c r="E10" s="240">
        <f>SUM(E8:E9)</f>
        <v>16409735.05946541</v>
      </c>
    </row>
    <row r="11" spans="1:10">
      <c r="A11" s="239">
        <v>4</v>
      </c>
      <c r="B11" s="239" t="s">
        <v>116</v>
      </c>
      <c r="E11" s="242">
        <v>0.96986766965600879</v>
      </c>
    </row>
    <row r="12" spans="1:10">
      <c r="A12" s="239">
        <v>5</v>
      </c>
      <c r="B12" s="239" t="s">
        <v>117</v>
      </c>
      <c r="C12" s="239" t="s">
        <v>168</v>
      </c>
      <c r="E12" s="240">
        <f>+E10*E11</f>
        <v>15915271.501796225</v>
      </c>
    </row>
    <row r="13" spans="1:10">
      <c r="E13" s="240"/>
    </row>
    <row r="14" spans="1:10">
      <c r="E14" s="240"/>
    </row>
    <row r="15" spans="1:10">
      <c r="A15" s="288">
        <v>6</v>
      </c>
      <c r="B15" s="288" t="s">
        <v>87</v>
      </c>
      <c r="C15" s="239" t="s">
        <v>718</v>
      </c>
      <c r="D15" s="288"/>
      <c r="E15" s="289">
        <f>'WP 13a'!C24</f>
        <v>-374198</v>
      </c>
      <c r="F15" s="288"/>
    </row>
    <row r="16" spans="1:10">
      <c r="A16" s="239">
        <v>7</v>
      </c>
      <c r="B16" s="239" t="s">
        <v>118</v>
      </c>
      <c r="E16" s="242">
        <v>0.2209037085307716</v>
      </c>
    </row>
    <row r="17" spans="1:5">
      <c r="A17" s="239">
        <v>8</v>
      </c>
      <c r="B17" s="239" t="s">
        <v>119</v>
      </c>
      <c r="C17" s="239" t="s">
        <v>169</v>
      </c>
      <c r="E17" s="240">
        <f t="shared" ref="E17" si="0">+E15*E16</f>
        <v>-82661.725924797676</v>
      </c>
    </row>
    <row r="19" spans="1:5">
      <c r="A19" s="239">
        <v>9</v>
      </c>
      <c r="B19" s="239" t="s">
        <v>120</v>
      </c>
      <c r="C19" s="239" t="s">
        <v>139</v>
      </c>
      <c r="E19" s="241">
        <f>+E12+E17</f>
        <v>15832609.775871428</v>
      </c>
    </row>
    <row r="21" spans="1:5">
      <c r="A21" s="239">
        <v>10</v>
      </c>
      <c r="B21" s="239" t="s">
        <v>121</v>
      </c>
      <c r="E21" s="242">
        <v>7.7400277337700857E-2</v>
      </c>
    </row>
    <row r="22" spans="1:5">
      <c r="A22" s="239">
        <v>11</v>
      </c>
      <c r="B22" s="239" t="s">
        <v>122</v>
      </c>
      <c r="C22" s="239" t="s">
        <v>170</v>
      </c>
      <c r="E22" s="241">
        <f t="shared" ref="E22" si="1">+E19*E21</f>
        <v>1225448.3876320424</v>
      </c>
    </row>
    <row r="24" spans="1:5">
      <c r="A24" s="239">
        <v>12</v>
      </c>
      <c r="B24" s="239" t="s">
        <v>123</v>
      </c>
      <c r="E24" s="242">
        <v>0.46185022324256458</v>
      </c>
    </row>
    <row r="25" spans="1:5">
      <c r="A25" s="239">
        <v>13</v>
      </c>
      <c r="B25" s="239" t="s">
        <v>124</v>
      </c>
      <c r="C25" s="239" t="s">
        <v>171</v>
      </c>
      <c r="E25" s="241">
        <f>+E24*E22</f>
        <v>565973.61140009959</v>
      </c>
    </row>
    <row r="28" spans="1:5">
      <c r="A28" s="239">
        <v>14</v>
      </c>
      <c r="B28" s="239" t="s">
        <v>744</v>
      </c>
      <c r="C28" s="239" t="s">
        <v>718</v>
      </c>
      <c r="E28" s="240">
        <f>'WP 13a'!C33</f>
        <v>110137.84929133335</v>
      </c>
    </row>
    <row r="29" spans="1:5">
      <c r="A29" s="239">
        <v>15</v>
      </c>
      <c r="B29" s="239" t="s">
        <v>116</v>
      </c>
      <c r="E29" s="242">
        <f>E11</f>
        <v>0.96986766965600879</v>
      </c>
    </row>
    <row r="30" spans="1:5">
      <c r="A30" s="239">
        <v>16</v>
      </c>
      <c r="B30" s="239" t="s">
        <v>125</v>
      </c>
      <c r="C30" s="239" t="s">
        <v>172</v>
      </c>
      <c r="E30" s="240">
        <f>+E28*E29</f>
        <v>106819.13923311017</v>
      </c>
    </row>
    <row r="31" spans="1:5" ht="13.8" thickBot="1">
      <c r="B31" s="239" t="s">
        <v>646</v>
      </c>
    </row>
    <row r="32" spans="1:5" ht="13.8" thickBot="1">
      <c r="A32" s="239">
        <v>17</v>
      </c>
      <c r="B32" s="239" t="s">
        <v>111</v>
      </c>
      <c r="C32" s="239" t="s">
        <v>173</v>
      </c>
      <c r="E32" s="63">
        <f>+E22+E25+E30</f>
        <v>1898241.1382652523</v>
      </c>
    </row>
  </sheetData>
  <mergeCells count="6">
    <mergeCell ref="A2:E2"/>
    <mergeCell ref="A3:E3"/>
    <mergeCell ref="A4:E4"/>
    <mergeCell ref="F4:J4"/>
    <mergeCell ref="A5:E5"/>
    <mergeCell ref="F5:J5"/>
  </mergeCells>
  <phoneticPr fontId="42" type="noConversion"/>
  <printOptions horizontalCentered="1"/>
  <pageMargins left="0.7" right="0.7" top="0.75" bottom="0.75" header="0.3" footer="0.3"/>
  <pageSetup orientation="portrait" r:id="rId1"/>
  <headerFooter>
    <oddFooter>&amp;R&amp;"Arial,Regular"&amp;10&amp;A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C28" sqref="C28"/>
    </sheetView>
  </sheetViews>
  <sheetFormatPr defaultColWidth="9.109375" defaultRowHeight="13.2"/>
  <cols>
    <col min="1" max="1" width="11.44140625" style="88" customWidth="1"/>
    <col min="2" max="2" width="38.6640625" style="88" customWidth="1"/>
    <col min="3" max="3" width="15" style="88" customWidth="1"/>
    <col min="4" max="13" width="15" style="88" bestFit="1" customWidth="1"/>
    <col min="14" max="14" width="15.5546875" style="88" customWidth="1"/>
    <col min="15" max="15" width="15" style="88" bestFit="1" customWidth="1"/>
    <col min="16" max="16384" width="9.109375" style="88"/>
  </cols>
  <sheetData>
    <row r="1" spans="1:14" ht="15" customHeight="1">
      <c r="A1" s="506" t="s">
        <v>126</v>
      </c>
      <c r="B1" s="506"/>
      <c r="C1" s="506"/>
      <c r="D1" s="346"/>
      <c r="E1" s="346"/>
      <c r="F1" s="346"/>
      <c r="G1" s="346"/>
      <c r="H1" s="346"/>
      <c r="I1" s="346"/>
      <c r="J1" s="346"/>
      <c r="K1" s="346"/>
      <c r="L1" s="346"/>
      <c r="M1" s="346"/>
      <c r="N1" s="346"/>
    </row>
    <row r="2" spans="1:14" ht="15" customHeight="1">
      <c r="A2" s="506" t="s">
        <v>146</v>
      </c>
      <c r="B2" s="506"/>
      <c r="C2" s="506"/>
      <c r="D2" s="506"/>
      <c r="E2" s="506"/>
      <c r="F2" s="506"/>
      <c r="G2" s="506"/>
      <c r="H2" s="506"/>
      <c r="I2" s="506"/>
      <c r="J2" s="506"/>
      <c r="K2" s="506"/>
      <c r="L2" s="506"/>
      <c r="M2" s="506"/>
      <c r="N2" s="506"/>
    </row>
    <row r="3" spans="1:14" ht="15" customHeight="1">
      <c r="A3" s="505" t="s">
        <v>702</v>
      </c>
      <c r="B3" s="506"/>
      <c r="C3" s="506"/>
      <c r="D3" s="506"/>
      <c r="E3" s="506"/>
      <c r="F3" s="506"/>
      <c r="G3" s="506"/>
      <c r="H3" s="506"/>
      <c r="I3" s="506"/>
      <c r="J3" s="506"/>
      <c r="K3" s="506"/>
      <c r="L3" s="506"/>
      <c r="M3" s="506"/>
      <c r="N3" s="506"/>
    </row>
    <row r="4" spans="1:14" ht="15" customHeight="1"/>
    <row r="5" spans="1:14" ht="15" customHeight="1">
      <c r="A5" s="89" t="s">
        <v>142</v>
      </c>
      <c r="C5" s="90">
        <v>41639</v>
      </c>
      <c r="D5" s="91"/>
    </row>
    <row r="6" spans="1:14" ht="14.4">
      <c r="A6" s="92" t="s">
        <v>43</v>
      </c>
      <c r="C6" s="94">
        <v>16759097.959999999</v>
      </c>
      <c r="D6" s="95"/>
    </row>
    <row r="7" spans="1:14" ht="14.4">
      <c r="A7" s="92" t="s">
        <v>44</v>
      </c>
      <c r="C7" s="103">
        <v>30879484.91</v>
      </c>
      <c r="D7" s="95"/>
    </row>
    <row r="8" spans="1:14" ht="14.4">
      <c r="A8" s="92" t="s">
        <v>45</v>
      </c>
      <c r="C8" s="93">
        <v>97854299.560000017</v>
      </c>
      <c r="D8" s="95"/>
    </row>
    <row r="9" spans="1:14" ht="14.4">
      <c r="A9" s="92" t="s">
        <v>46</v>
      </c>
      <c r="C9" s="93">
        <v>38889339.61999999</v>
      </c>
      <c r="D9" s="95"/>
    </row>
    <row r="10" spans="1:14" ht="14.4">
      <c r="A10" s="92" t="s">
        <v>47</v>
      </c>
      <c r="C10" s="93">
        <v>0</v>
      </c>
      <c r="D10" s="95"/>
    </row>
    <row r="11" spans="1:14" ht="14.4">
      <c r="A11" s="92" t="s">
        <v>48</v>
      </c>
      <c r="C11" s="96">
        <v>12786670.640000002</v>
      </c>
      <c r="D11" s="95"/>
    </row>
    <row r="12" spans="1:14" ht="14.4">
      <c r="A12" s="89" t="s">
        <v>143</v>
      </c>
      <c r="C12" s="93">
        <f t="shared" ref="C12" si="0">SUM(C6:C11)</f>
        <v>197168892.69000003</v>
      </c>
      <c r="D12" s="95"/>
    </row>
    <row r="13" spans="1:14" ht="14.4">
      <c r="C13" s="93"/>
      <c r="D13" s="95"/>
      <c r="F13" s="97"/>
    </row>
    <row r="14" spans="1:14" ht="14.4">
      <c r="A14" s="89" t="s">
        <v>144</v>
      </c>
      <c r="C14" s="90">
        <v>41639</v>
      </c>
      <c r="D14" s="98"/>
    </row>
    <row r="15" spans="1:14" ht="14.4">
      <c r="A15" s="92" t="s">
        <v>43</v>
      </c>
      <c r="B15" s="99"/>
      <c r="C15" s="94">
        <v>349362.90053458844</v>
      </c>
      <c r="D15" s="95"/>
    </row>
    <row r="16" spans="1:14" ht="14.4">
      <c r="A16" s="92" t="s">
        <v>44</v>
      </c>
      <c r="B16" s="99"/>
      <c r="C16" s="103">
        <v>1636193.4068254579</v>
      </c>
      <c r="D16" s="95"/>
    </row>
    <row r="17" spans="1:15" ht="14.4">
      <c r="A17" s="92" t="s">
        <v>45</v>
      </c>
      <c r="B17" s="99"/>
      <c r="C17" s="93">
        <v>12214210.972689023</v>
      </c>
      <c r="D17" s="95"/>
    </row>
    <row r="18" spans="1:15" ht="14.4">
      <c r="A18" s="92" t="s">
        <v>46</v>
      </c>
      <c r="B18" s="99"/>
      <c r="C18" s="93">
        <v>3656426.8736250312</v>
      </c>
      <c r="D18" s="95"/>
    </row>
    <row r="19" spans="1:15" ht="14.4">
      <c r="A19" s="92" t="s">
        <v>47</v>
      </c>
      <c r="B19" s="99"/>
      <c r="C19" s="93">
        <v>0</v>
      </c>
      <c r="D19" s="95"/>
    </row>
    <row r="20" spans="1:15" ht="14.4">
      <c r="A20" s="92" t="s">
        <v>48</v>
      </c>
      <c r="B20" s="99"/>
      <c r="C20" s="96">
        <v>557886.3989163501</v>
      </c>
      <c r="D20" s="95"/>
    </row>
    <row r="21" spans="1:15" ht="14.4">
      <c r="A21" s="100" t="s">
        <v>145</v>
      </c>
      <c r="B21" s="99"/>
      <c r="C21" s="93">
        <f t="shared" ref="C21" si="1">SUM(C15:C20)</f>
        <v>18414080.552590448</v>
      </c>
      <c r="D21" s="95"/>
    </row>
    <row r="22" spans="1:15" ht="14.4">
      <c r="C22" s="93"/>
      <c r="D22" s="93"/>
    </row>
    <row r="23" spans="1:15">
      <c r="A23" s="89" t="s">
        <v>703</v>
      </c>
      <c r="C23" s="90">
        <v>41639</v>
      </c>
    </row>
    <row r="24" spans="1:15" ht="14.4">
      <c r="A24" s="92" t="s">
        <v>43</v>
      </c>
      <c r="C24" s="94">
        <v>-374198</v>
      </c>
      <c r="O24" s="97"/>
    </row>
    <row r="25" spans="1:15" ht="14.4">
      <c r="A25" s="92" t="s">
        <v>44</v>
      </c>
      <c r="C25" s="103">
        <v>-2797188</v>
      </c>
      <c r="D25" s="102"/>
      <c r="E25" s="102"/>
      <c r="F25" s="102"/>
      <c r="G25" s="102"/>
      <c r="H25" s="102"/>
    </row>
    <row r="26" spans="1:15" ht="14.4">
      <c r="A26" s="92" t="s">
        <v>45</v>
      </c>
      <c r="C26" s="93">
        <v>-24154008</v>
      </c>
      <c r="D26" s="102"/>
      <c r="E26" s="102"/>
      <c r="F26" s="102"/>
      <c r="G26" s="102"/>
      <c r="H26" s="102"/>
    </row>
    <row r="27" spans="1:15" ht="14.4">
      <c r="A27" s="92" t="s">
        <v>46</v>
      </c>
      <c r="C27" s="93">
        <v>-14622323</v>
      </c>
      <c r="D27" s="102"/>
      <c r="E27" s="102"/>
      <c r="F27" s="102"/>
      <c r="G27" s="102"/>
      <c r="H27" s="102"/>
    </row>
    <row r="28" spans="1:15" ht="14.4">
      <c r="A28" s="92" t="s">
        <v>47</v>
      </c>
      <c r="C28" s="93">
        <v>0</v>
      </c>
      <c r="D28" s="102"/>
      <c r="E28" s="102"/>
      <c r="F28" s="102"/>
      <c r="G28" s="102"/>
      <c r="H28" s="102"/>
    </row>
    <row r="29" spans="1:15" ht="14.4">
      <c r="A29" s="92" t="s">
        <v>48</v>
      </c>
      <c r="C29" s="96">
        <v>-3929909</v>
      </c>
      <c r="D29" s="102"/>
      <c r="E29" s="102"/>
      <c r="F29" s="102"/>
      <c r="G29" s="102"/>
      <c r="H29" s="102"/>
    </row>
    <row r="30" spans="1:15" ht="14.4">
      <c r="A30" s="100" t="s">
        <v>704</v>
      </c>
      <c r="C30" s="93">
        <f>SUM(C24:C29)</f>
        <v>-45877626</v>
      </c>
      <c r="D30" s="102"/>
      <c r="E30" s="102"/>
      <c r="F30" s="102"/>
      <c r="G30" s="102"/>
      <c r="H30" s="102"/>
    </row>
    <row r="31" spans="1:15">
      <c r="A31" s="92"/>
      <c r="B31" s="88" t="s">
        <v>646</v>
      </c>
      <c r="C31" s="102"/>
      <c r="D31" s="102"/>
      <c r="E31" s="102"/>
      <c r="F31" s="102"/>
      <c r="G31" s="102"/>
      <c r="H31" s="102"/>
    </row>
    <row r="32" spans="1:15" ht="14.4">
      <c r="A32" s="89" t="s">
        <v>641</v>
      </c>
      <c r="C32" s="347" t="s">
        <v>643</v>
      </c>
      <c r="D32" s="101"/>
    </row>
    <row r="33" spans="1:3" ht="14.4">
      <c r="A33" s="92" t="s">
        <v>43</v>
      </c>
      <c r="C33" s="348">
        <v>110137.84929133335</v>
      </c>
    </row>
    <row r="34" spans="1:3" ht="14.4">
      <c r="A34" s="92" t="s">
        <v>44</v>
      </c>
      <c r="C34" s="349">
        <v>443858.94356639998</v>
      </c>
    </row>
    <row r="35" spans="1:3" ht="14.4">
      <c r="A35" s="92" t="s">
        <v>45</v>
      </c>
      <c r="C35" s="95">
        <v>2753309.9282212509</v>
      </c>
    </row>
    <row r="36" spans="1:3" ht="14.4">
      <c r="A36" s="92" t="s">
        <v>46</v>
      </c>
      <c r="C36" s="95">
        <v>906122.34284375003</v>
      </c>
    </row>
    <row r="37" spans="1:3" ht="14.4">
      <c r="A37" s="92" t="s">
        <v>47</v>
      </c>
      <c r="C37" s="95">
        <v>0</v>
      </c>
    </row>
    <row r="38" spans="1:3" ht="14.4">
      <c r="A38" s="92" t="s">
        <v>48</v>
      </c>
      <c r="C38" s="96">
        <v>261803.78536800013</v>
      </c>
    </row>
    <row r="39" spans="1:3" ht="14.4">
      <c r="A39" s="89" t="s">
        <v>642</v>
      </c>
      <c r="C39" s="95">
        <f>SUM(C33:C38)</f>
        <v>4475232.8492907351</v>
      </c>
    </row>
    <row r="40" spans="1:3">
      <c r="A40" s="92"/>
    </row>
  </sheetData>
  <mergeCells count="11">
    <mergeCell ref="M2:N2"/>
    <mergeCell ref="A1:C1"/>
    <mergeCell ref="A2:C2"/>
    <mergeCell ref="D2:F2"/>
    <mergeCell ref="G2:I2"/>
    <mergeCell ref="J2:L2"/>
    <mergeCell ref="A3:C3"/>
    <mergeCell ref="D3:F3"/>
    <mergeCell ref="G3:I3"/>
    <mergeCell ref="J3:L3"/>
    <mergeCell ref="M3:N3"/>
  </mergeCells>
  <printOptions horizontalCentered="1"/>
  <pageMargins left="0.7" right="0.7" top="0.75" bottom="0.75" header="0.3" footer="0.3"/>
  <pageSetup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40"/>
  <sheetViews>
    <sheetView zoomScaleNormal="100" workbookViewId="0"/>
  </sheetViews>
  <sheetFormatPr defaultColWidth="9.109375" defaultRowHeight="13.2"/>
  <cols>
    <col min="1" max="1" width="4.44140625" style="114" customWidth="1"/>
    <col min="2" max="2" width="9.109375" style="114"/>
    <col min="3" max="3" width="12.33203125" style="114" bestFit="1" customWidth="1"/>
    <col min="4" max="4" width="4.88671875" style="114" customWidth="1"/>
    <col min="5" max="6" width="13.44140625" style="114" bestFit="1" customWidth="1"/>
    <col min="7" max="7" width="14" style="114" bestFit="1" customWidth="1"/>
    <col min="8" max="8" width="12.33203125" style="114" bestFit="1" customWidth="1"/>
    <col min="9" max="9" width="11.33203125" style="114" bestFit="1" customWidth="1"/>
    <col min="10" max="10" width="13.44140625" style="114" bestFit="1" customWidth="1"/>
    <col min="11" max="11" width="14" style="114" bestFit="1" customWidth="1"/>
    <col min="12" max="16384" width="9.109375" style="114"/>
  </cols>
  <sheetData>
    <row r="1" spans="1:22">
      <c r="B1" s="508" t="s">
        <v>126</v>
      </c>
      <c r="C1" s="508"/>
      <c r="D1" s="508"/>
      <c r="E1" s="508"/>
      <c r="F1" s="508"/>
      <c r="G1" s="508"/>
      <c r="H1" s="508"/>
      <c r="I1" s="508"/>
      <c r="J1" s="508"/>
      <c r="K1" s="508"/>
      <c r="L1" s="118"/>
      <c r="M1" s="118"/>
      <c r="N1" s="118"/>
      <c r="O1" s="118"/>
      <c r="P1" s="118"/>
      <c r="Q1" s="118"/>
      <c r="R1" s="118"/>
      <c r="S1" s="118"/>
      <c r="T1" s="118"/>
      <c r="U1" s="118"/>
      <c r="V1" s="118"/>
    </row>
    <row r="2" spans="1:22">
      <c r="B2" s="508" t="s">
        <v>186</v>
      </c>
      <c r="C2" s="508"/>
      <c r="D2" s="508"/>
      <c r="E2" s="508"/>
      <c r="F2" s="508"/>
      <c r="G2" s="508"/>
      <c r="H2" s="508"/>
      <c r="I2" s="508"/>
      <c r="J2" s="508"/>
      <c r="K2" s="508"/>
      <c r="L2" s="118"/>
      <c r="M2" s="118"/>
      <c r="N2" s="118"/>
      <c r="O2" s="118"/>
      <c r="P2" s="118"/>
      <c r="Q2" s="118"/>
      <c r="R2" s="118"/>
      <c r="S2" s="118"/>
      <c r="T2" s="118"/>
      <c r="U2" s="118"/>
      <c r="V2" s="118"/>
    </row>
    <row r="3" spans="1:22">
      <c r="B3" s="509" t="s">
        <v>617</v>
      </c>
      <c r="C3" s="509"/>
      <c r="D3" s="509"/>
      <c r="E3" s="509"/>
      <c r="F3" s="509"/>
      <c r="G3" s="509"/>
      <c r="H3" s="509"/>
      <c r="I3" s="509"/>
      <c r="J3" s="509"/>
      <c r="K3" s="509"/>
      <c r="L3" s="118"/>
      <c r="M3" s="118"/>
      <c r="N3" s="118"/>
      <c r="O3" s="118"/>
      <c r="P3" s="118"/>
      <c r="Q3" s="118"/>
      <c r="R3" s="118"/>
      <c r="S3" s="118"/>
      <c r="T3" s="118"/>
      <c r="U3" s="118"/>
      <c r="V3" s="118"/>
    </row>
    <row r="4" spans="1:22">
      <c r="B4" s="508" t="s">
        <v>127</v>
      </c>
      <c r="C4" s="508"/>
      <c r="D4" s="508"/>
      <c r="E4" s="508"/>
      <c r="F4" s="508"/>
      <c r="G4" s="508"/>
      <c r="H4" s="508"/>
      <c r="I4" s="508"/>
      <c r="J4" s="508"/>
      <c r="K4" s="508"/>
      <c r="L4" s="118"/>
      <c r="M4" s="118"/>
      <c r="N4" s="118"/>
      <c r="O4" s="118"/>
      <c r="P4" s="118"/>
      <c r="Q4" s="118"/>
      <c r="R4" s="118"/>
      <c r="S4" s="118"/>
      <c r="T4" s="118"/>
      <c r="U4" s="118"/>
      <c r="V4" s="118"/>
    </row>
    <row r="7" spans="1:22" ht="12.75" customHeight="1">
      <c r="B7" s="507" t="s">
        <v>183</v>
      </c>
      <c r="C7" s="507"/>
      <c r="D7" s="507"/>
      <c r="F7" s="507" t="s">
        <v>184</v>
      </c>
      <c r="G7" s="507"/>
      <c r="H7" s="507"/>
    </row>
    <row r="8" spans="1:22">
      <c r="B8" s="507"/>
      <c r="C8" s="507"/>
      <c r="D8" s="507"/>
      <c r="F8" s="507"/>
      <c r="G8" s="507"/>
      <c r="H8" s="507"/>
    </row>
    <row r="11" spans="1:22">
      <c r="A11" s="359">
        <v>1</v>
      </c>
      <c r="B11" s="115">
        <v>41275</v>
      </c>
      <c r="C11" s="364">
        <v>5370</v>
      </c>
      <c r="F11" s="115">
        <v>41275</v>
      </c>
      <c r="G11" s="364">
        <v>100518.5</v>
      </c>
    </row>
    <row r="12" spans="1:22">
      <c r="A12" s="359">
        <f>+A11+1</f>
        <v>2</v>
      </c>
      <c r="B12" s="115">
        <v>41306</v>
      </c>
      <c r="C12" s="364">
        <v>6735.3</v>
      </c>
      <c r="F12" s="115">
        <v>41306</v>
      </c>
      <c r="G12" s="364">
        <v>96101.6</v>
      </c>
    </row>
    <row r="13" spans="1:22">
      <c r="A13" s="359">
        <f t="shared" ref="A13:A23" si="0">+A12+1</f>
        <v>3</v>
      </c>
      <c r="B13" s="115">
        <v>41334</v>
      </c>
      <c r="C13" s="364">
        <v>9828.2000000000007</v>
      </c>
      <c r="F13" s="115">
        <v>41334</v>
      </c>
      <c r="G13" s="364">
        <v>79253.2</v>
      </c>
    </row>
    <row r="14" spans="1:22">
      <c r="A14" s="359">
        <f t="shared" si="0"/>
        <v>4</v>
      </c>
      <c r="B14" s="115">
        <v>41365</v>
      </c>
      <c r="C14" s="364">
        <v>8474.7999999999993</v>
      </c>
      <c r="F14" s="115">
        <v>41365</v>
      </c>
      <c r="G14" s="364">
        <v>56386.5</v>
      </c>
    </row>
    <row r="15" spans="1:22">
      <c r="A15" s="359">
        <f t="shared" si="0"/>
        <v>5</v>
      </c>
      <c r="B15" s="115">
        <v>41395</v>
      </c>
      <c r="C15" s="364">
        <v>10498.3</v>
      </c>
      <c r="F15" s="115">
        <v>41395</v>
      </c>
      <c r="G15" s="364">
        <v>57951.8</v>
      </c>
    </row>
    <row r="16" spans="1:22">
      <c r="A16" s="359">
        <f t="shared" si="0"/>
        <v>6</v>
      </c>
      <c r="B16" s="115">
        <v>41426</v>
      </c>
      <c r="C16" s="364">
        <v>9588.4</v>
      </c>
      <c r="F16" s="115">
        <v>41426</v>
      </c>
      <c r="G16" s="364">
        <v>74103.7</v>
      </c>
    </row>
    <row r="17" spans="1:11">
      <c r="A17" s="359">
        <f t="shared" si="0"/>
        <v>7</v>
      </c>
      <c r="B17" s="115">
        <v>41456</v>
      </c>
      <c r="C17" s="364">
        <v>7159</v>
      </c>
      <c r="F17" s="115">
        <v>41456</v>
      </c>
      <c r="G17" s="364">
        <v>86463.4</v>
      </c>
    </row>
    <row r="18" spans="1:11">
      <c r="A18" s="359">
        <f t="shared" si="0"/>
        <v>8</v>
      </c>
      <c r="B18" s="115">
        <v>41487</v>
      </c>
      <c r="C18" s="364">
        <v>7142.8</v>
      </c>
      <c r="F18" s="115">
        <v>41487</v>
      </c>
      <c r="G18" s="364">
        <v>67717</v>
      </c>
    </row>
    <row r="19" spans="1:11">
      <c r="A19" s="359">
        <f t="shared" si="0"/>
        <v>9</v>
      </c>
      <c r="B19" s="115">
        <v>41518</v>
      </c>
      <c r="C19" s="364">
        <v>7556.8</v>
      </c>
      <c r="F19" s="115">
        <v>41518</v>
      </c>
      <c r="G19" s="364">
        <v>39587.699999999997</v>
      </c>
    </row>
    <row r="20" spans="1:11">
      <c r="A20" s="359">
        <f t="shared" si="0"/>
        <v>10</v>
      </c>
      <c r="B20" s="115">
        <v>41548</v>
      </c>
      <c r="C20" s="364">
        <v>15082.2</v>
      </c>
      <c r="F20" s="115">
        <v>41548</v>
      </c>
      <c r="G20" s="364">
        <v>32886.699999999997</v>
      </c>
    </row>
    <row r="21" spans="1:11">
      <c r="A21" s="359">
        <f t="shared" si="0"/>
        <v>11</v>
      </c>
      <c r="B21" s="115">
        <v>41579</v>
      </c>
      <c r="C21" s="364">
        <v>8948.1</v>
      </c>
      <c r="F21" s="115">
        <v>41579</v>
      </c>
      <c r="G21" s="364">
        <v>54971.8</v>
      </c>
    </row>
    <row r="22" spans="1:11">
      <c r="A22" s="359">
        <f t="shared" si="0"/>
        <v>12</v>
      </c>
      <c r="B22" s="115">
        <v>41609</v>
      </c>
      <c r="C22" s="364">
        <v>5669.9</v>
      </c>
      <c r="F22" s="115">
        <v>41609</v>
      </c>
      <c r="G22" s="364">
        <v>27663.4</v>
      </c>
    </row>
    <row r="23" spans="1:11" ht="13.8" thickBot="1">
      <c r="A23" s="359">
        <f t="shared" si="0"/>
        <v>13</v>
      </c>
      <c r="C23" s="365">
        <f>SUM(C11:C22)</f>
        <v>102053.8</v>
      </c>
      <c r="G23" s="365">
        <f>SUM(G11:G22)</f>
        <v>773605.29999999993</v>
      </c>
    </row>
    <row r="24" spans="1:11" ht="13.8" thickTop="1">
      <c r="A24" s="359"/>
      <c r="B24" s="458"/>
      <c r="C24" s="394"/>
      <c r="G24" s="394"/>
    </row>
    <row r="25" spans="1:11">
      <c r="B25" s="458"/>
      <c r="G25" s="364"/>
    </row>
    <row r="26" spans="1:11">
      <c r="B26" s="459"/>
      <c r="C26" s="116"/>
      <c r="D26" s="116"/>
      <c r="E26" s="117" t="s">
        <v>43</v>
      </c>
      <c r="F26" s="117" t="s">
        <v>44</v>
      </c>
      <c r="G26" s="117" t="s">
        <v>45</v>
      </c>
      <c r="H26" s="117" t="s">
        <v>46</v>
      </c>
      <c r="I26" s="117" t="s">
        <v>47</v>
      </c>
      <c r="J26" s="117" t="s">
        <v>48</v>
      </c>
      <c r="K26" s="117" t="s">
        <v>40</v>
      </c>
    </row>
    <row r="27" spans="1:11">
      <c r="A27" s="359">
        <f>+A23+1</f>
        <v>14</v>
      </c>
      <c r="B27" s="459" t="s">
        <v>179</v>
      </c>
      <c r="C27" s="116"/>
      <c r="D27" s="116"/>
      <c r="E27" s="368">
        <v>1527970108</v>
      </c>
      <c r="F27" s="368">
        <v>1068582308</v>
      </c>
      <c r="G27" s="368">
        <v>1256106503</v>
      </c>
      <c r="H27" s="368">
        <v>926236017</v>
      </c>
      <c r="I27" s="368">
        <v>89641046</v>
      </c>
      <c r="J27" s="368">
        <v>941634205</v>
      </c>
      <c r="K27" s="368">
        <f>SUM(E27:J27)</f>
        <v>5810170187</v>
      </c>
    </row>
    <row r="28" spans="1:11">
      <c r="A28" s="359">
        <f>+A27+1</f>
        <v>15</v>
      </c>
      <c r="B28" s="459" t="s">
        <v>180</v>
      </c>
      <c r="C28" s="116"/>
      <c r="D28" s="116"/>
      <c r="E28" s="369">
        <v>46041300.049999997</v>
      </c>
      <c r="F28" s="369">
        <v>26430009.52</v>
      </c>
      <c r="G28" s="369">
        <v>28904667.330000017</v>
      </c>
      <c r="H28" s="369">
        <v>13488969.750000002</v>
      </c>
      <c r="I28" s="369">
        <v>3547347.54</v>
      </c>
      <c r="J28" s="369">
        <v>16015705.770000001</v>
      </c>
      <c r="K28" s="369">
        <f>SUM(E28:J28)</f>
        <v>134427999.96000001</v>
      </c>
    </row>
    <row r="29" spans="1:11">
      <c r="A29" s="359">
        <f t="shared" ref="A29:A30" si="1">+A28+1</f>
        <v>16</v>
      </c>
      <c r="B29" s="459" t="s">
        <v>181</v>
      </c>
      <c r="C29" s="116"/>
      <c r="D29" s="116"/>
      <c r="E29" s="370">
        <f>E27-E28</f>
        <v>1481928807.95</v>
      </c>
      <c r="F29" s="370">
        <f>F27-F28</f>
        <v>1042152298.48</v>
      </c>
      <c r="G29" s="370">
        <f t="shared" ref="G29:K29" si="2">G27-G28</f>
        <v>1227201835.6700001</v>
      </c>
      <c r="H29" s="370">
        <f t="shared" si="2"/>
        <v>912747047.25</v>
      </c>
      <c r="I29" s="370">
        <f t="shared" si="2"/>
        <v>86093698.459999993</v>
      </c>
      <c r="J29" s="370">
        <f t="shared" si="2"/>
        <v>925618499.23000002</v>
      </c>
      <c r="K29" s="370">
        <f t="shared" si="2"/>
        <v>5675742187.04</v>
      </c>
    </row>
    <row r="30" spans="1:11">
      <c r="A30" s="359">
        <f t="shared" si="1"/>
        <v>17</v>
      </c>
      <c r="B30" s="459" t="s">
        <v>182</v>
      </c>
      <c r="C30" s="116"/>
      <c r="D30" s="116"/>
      <c r="E30" s="366">
        <f>E29/K29</f>
        <v>0.26109868262406966</v>
      </c>
      <c r="F30" s="366">
        <f>F29/K29</f>
        <v>0.18361515800693917</v>
      </c>
      <c r="G30" s="366">
        <f>G29/K29</f>
        <v>0.21621874201266489</v>
      </c>
      <c r="H30" s="366">
        <f>H29/K29</f>
        <v>0.16081545235338002</v>
      </c>
      <c r="I30" s="366">
        <f>I29/K29</f>
        <v>1.5168711971552637E-2</v>
      </c>
      <c r="J30" s="366">
        <f>J29/K29</f>
        <v>0.16308325303139368</v>
      </c>
      <c r="K30" s="366">
        <f>SUM(E30:J30)</f>
        <v>1</v>
      </c>
    </row>
    <row r="31" spans="1:11">
      <c r="A31" s="359"/>
      <c r="B31" s="459" t="s">
        <v>646</v>
      </c>
      <c r="C31" s="116"/>
      <c r="D31" s="116"/>
      <c r="E31" s="366"/>
      <c r="F31" s="366"/>
      <c r="G31" s="366"/>
      <c r="H31" s="366"/>
      <c r="I31" s="366"/>
      <c r="J31" s="366"/>
      <c r="K31" s="366"/>
    </row>
    <row r="32" spans="1:11">
      <c r="B32" s="460" t="s">
        <v>685</v>
      </c>
    </row>
    <row r="33" spans="1:11">
      <c r="A33" s="359">
        <f>+A30+1</f>
        <v>18</v>
      </c>
      <c r="B33" s="458" t="s">
        <v>707</v>
      </c>
      <c r="E33" s="360">
        <f>C23*E30</f>
        <v>26646.11273678028</v>
      </c>
      <c r="F33" s="363">
        <f>C23*F30</f>
        <v>18738.624612208569</v>
      </c>
      <c r="G33" s="361">
        <f>C23*G30</f>
        <v>22065.944253612102</v>
      </c>
      <c r="H33" s="361">
        <f>C23*H30</f>
        <v>16411.828011381374</v>
      </c>
      <c r="I33" s="361">
        <f>C23*I30</f>
        <v>1548.0246978024386</v>
      </c>
      <c r="J33" s="361">
        <f>C23*J30</f>
        <v>16643.265688215244</v>
      </c>
      <c r="K33" s="361">
        <f>SUM(E33:J33)</f>
        <v>102053.79999999999</v>
      </c>
    </row>
    <row r="34" spans="1:11">
      <c r="A34" s="359">
        <f>+A33+1</f>
        <v>19</v>
      </c>
      <c r="B34" s="458" t="s">
        <v>708</v>
      </c>
      <c r="E34" s="362">
        <v>1129.71</v>
      </c>
      <c r="F34" s="362">
        <v>298.73</v>
      </c>
      <c r="G34" s="362">
        <v>457.97</v>
      </c>
      <c r="H34" s="362">
        <v>862.35</v>
      </c>
      <c r="I34" s="362">
        <v>76.58</v>
      </c>
      <c r="J34" s="362">
        <v>660.56</v>
      </c>
      <c r="K34" s="362">
        <f>SUM(E34:J34)</f>
        <v>3485.9</v>
      </c>
    </row>
    <row r="35" spans="1:11">
      <c r="A35" s="359">
        <f>+A34+1</f>
        <v>20</v>
      </c>
      <c r="B35" s="458" t="s">
        <v>709</v>
      </c>
      <c r="E35" s="396">
        <f t="shared" ref="E35:J35" si="3">SUM(E33:E34)</f>
        <v>27775.822736780279</v>
      </c>
      <c r="F35" s="360">
        <f t="shared" si="3"/>
        <v>19037.354612208568</v>
      </c>
      <c r="G35" s="360">
        <f t="shared" si="3"/>
        <v>22523.914253612103</v>
      </c>
      <c r="H35" s="360">
        <f t="shared" si="3"/>
        <v>17274.178011381373</v>
      </c>
      <c r="I35" s="360">
        <f t="shared" si="3"/>
        <v>1624.6046978024385</v>
      </c>
      <c r="J35" s="360">
        <f t="shared" si="3"/>
        <v>17303.825688215245</v>
      </c>
      <c r="K35" s="361">
        <f>SUM(E35:J35)</f>
        <v>105539.70000000001</v>
      </c>
    </row>
    <row r="36" spans="1:11">
      <c r="E36" s="361"/>
      <c r="F36" s="361"/>
      <c r="G36" s="361"/>
      <c r="H36" s="361"/>
      <c r="I36" s="361"/>
      <c r="J36" s="361"/>
      <c r="K36" s="361"/>
    </row>
    <row r="37" spans="1:11">
      <c r="B37" s="113" t="s">
        <v>185</v>
      </c>
      <c r="E37" s="361"/>
      <c r="F37" s="361"/>
      <c r="G37" s="361"/>
      <c r="H37" s="361"/>
      <c r="I37" s="361"/>
      <c r="J37" s="361"/>
      <c r="K37" s="361"/>
    </row>
    <row r="38" spans="1:11">
      <c r="A38" s="359">
        <f>+A35+1</f>
        <v>21</v>
      </c>
      <c r="B38" s="114" t="s">
        <v>707</v>
      </c>
      <c r="E38" s="360">
        <f>E30*G23</f>
        <v>201987.32470099817</v>
      </c>
      <c r="F38" s="363">
        <f>F30*G23</f>
        <v>142045.65939450558</v>
      </c>
      <c r="G38" s="361">
        <f>G30*G23</f>
        <v>167267.96478033022</v>
      </c>
      <c r="H38" s="361">
        <f>H30*G23</f>
        <v>124407.68626247224</v>
      </c>
      <c r="I38" s="361">
        <f>I30*G23</f>
        <v>11734.595975366568</v>
      </c>
      <c r="J38" s="361">
        <f>J30*G23</f>
        <v>126162.06888632721</v>
      </c>
      <c r="K38" s="361">
        <f>SUM(E38:J38)</f>
        <v>773605.3</v>
      </c>
    </row>
    <row r="39" spans="1:11">
      <c r="A39" s="359">
        <f>+A38+1</f>
        <v>22</v>
      </c>
      <c r="B39" s="114" t="s">
        <v>708</v>
      </c>
      <c r="E39" s="362">
        <v>5608.16</v>
      </c>
      <c r="F39" s="362">
        <v>2721.84</v>
      </c>
      <c r="G39" s="362">
        <v>4172.72</v>
      </c>
      <c r="H39" s="362">
        <v>3167.47</v>
      </c>
      <c r="I39" s="362">
        <v>697.73</v>
      </c>
      <c r="J39" s="362">
        <v>1617.53</v>
      </c>
      <c r="K39" s="362">
        <f>SUM(E39:J39)</f>
        <v>17985.45</v>
      </c>
    </row>
    <row r="40" spans="1:11">
      <c r="A40" s="359">
        <f>+A39+1</f>
        <v>23</v>
      </c>
      <c r="B40" s="114" t="s">
        <v>710</v>
      </c>
      <c r="E40" s="395">
        <f t="shared" ref="E40:J40" si="4">SUM(E38:E39)</f>
        <v>207595.48470099817</v>
      </c>
      <c r="F40" s="361">
        <f t="shared" si="4"/>
        <v>144767.49939450558</v>
      </c>
      <c r="G40" s="361">
        <f t="shared" si="4"/>
        <v>171440.68478033022</v>
      </c>
      <c r="H40" s="361">
        <f t="shared" si="4"/>
        <v>127575.15626247224</v>
      </c>
      <c r="I40" s="361">
        <f t="shared" si="4"/>
        <v>12432.325975366568</v>
      </c>
      <c r="J40" s="361">
        <f t="shared" si="4"/>
        <v>127779.59888632721</v>
      </c>
      <c r="K40" s="361">
        <f>SUM(E40:J40)</f>
        <v>791590.75</v>
      </c>
    </row>
  </sheetData>
  <mergeCells count="6">
    <mergeCell ref="B7:D8"/>
    <mergeCell ref="F7:H8"/>
    <mergeCell ref="B1:K1"/>
    <mergeCell ref="B3:K3"/>
    <mergeCell ref="B4:K4"/>
    <mergeCell ref="B2:K2"/>
  </mergeCells>
  <phoneticPr fontId="42" type="noConversion"/>
  <pageMargins left="0.5" right="0.3" top="0.75" bottom="0.75" header="0.3" footer="0.3"/>
  <pageSetup scale="80" orientation="portrait" r:id="rId1"/>
  <headerFooter>
    <oddFooter>&amp;R&amp;A</oddFooter>
  </headerFooter>
  <ignoredErrors>
    <ignoredError sqref="K29"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43" zoomScaleNormal="100" workbookViewId="0">
      <selection activeCell="C60" sqref="C60"/>
    </sheetView>
  </sheetViews>
  <sheetFormatPr defaultRowHeight="13.8"/>
  <cols>
    <col min="1" max="1" width="21.5546875" style="256" customWidth="1"/>
    <col min="2" max="2" width="15.33203125" style="256" bestFit="1" customWidth="1"/>
    <col min="3" max="3" width="14.109375" style="256" bestFit="1" customWidth="1"/>
    <col min="4" max="4" width="15.33203125" style="245" bestFit="1" customWidth="1"/>
    <col min="5" max="5" width="3.6640625" style="245" customWidth="1"/>
    <col min="6" max="6" width="15.88671875" style="245" bestFit="1" customWidth="1"/>
    <col min="7" max="7" width="3" style="245" customWidth="1"/>
    <col min="8" max="8" width="15.44140625" style="245" bestFit="1" customWidth="1"/>
    <col min="9" max="250" width="8.88671875" style="256"/>
    <col min="251" max="251" width="21.5546875" style="256" customWidth="1"/>
    <col min="252" max="252" width="3.6640625" style="256" customWidth="1"/>
    <col min="253" max="253" width="13.44140625" style="256" bestFit="1" customWidth="1"/>
    <col min="254" max="254" width="3.6640625" style="256" customWidth="1"/>
    <col min="255" max="255" width="12.88671875" style="256" bestFit="1" customWidth="1"/>
    <col min="256" max="256" width="3.6640625" style="256" customWidth="1"/>
    <col min="257" max="257" width="14.33203125" style="256" bestFit="1" customWidth="1"/>
    <col min="258" max="258" width="3.6640625" style="256" customWidth="1"/>
    <col min="259" max="259" width="15" style="256" bestFit="1" customWidth="1"/>
    <col min="260" max="260" width="3" style="256" customWidth="1"/>
    <col min="261" max="261" width="15.33203125" style="256" bestFit="1" customWidth="1"/>
    <col min="262" max="263" width="8.88671875" style="256"/>
    <col min="264" max="264" width="17.5546875" style="256" bestFit="1" customWidth="1"/>
    <col min="265" max="506" width="8.88671875" style="256"/>
    <col min="507" max="507" width="21.5546875" style="256" customWidth="1"/>
    <col min="508" max="508" width="3.6640625" style="256" customWidth="1"/>
    <col min="509" max="509" width="13.44140625" style="256" bestFit="1" customWidth="1"/>
    <col min="510" max="510" width="3.6640625" style="256" customWidth="1"/>
    <col min="511" max="511" width="12.88671875" style="256" bestFit="1" customWidth="1"/>
    <col min="512" max="512" width="3.6640625" style="256" customWidth="1"/>
    <col min="513" max="513" width="14.33203125" style="256" bestFit="1" customWidth="1"/>
    <col min="514" max="514" width="3.6640625" style="256" customWidth="1"/>
    <col min="515" max="515" width="15" style="256" bestFit="1" customWidth="1"/>
    <col min="516" max="516" width="3" style="256" customWidth="1"/>
    <col min="517" max="517" width="15.33203125" style="256" bestFit="1" customWidth="1"/>
    <col min="518" max="519" width="8.88671875" style="256"/>
    <col min="520" max="520" width="17.5546875" style="256" bestFit="1" customWidth="1"/>
    <col min="521" max="762" width="8.88671875" style="256"/>
    <col min="763" max="763" width="21.5546875" style="256" customWidth="1"/>
    <col min="764" max="764" width="3.6640625" style="256" customWidth="1"/>
    <col min="765" max="765" width="13.44140625" style="256" bestFit="1" customWidth="1"/>
    <col min="766" max="766" width="3.6640625" style="256" customWidth="1"/>
    <col min="767" max="767" width="12.88671875" style="256" bestFit="1" customWidth="1"/>
    <col min="768" max="768" width="3.6640625" style="256" customWidth="1"/>
    <col min="769" max="769" width="14.33203125" style="256" bestFit="1" customWidth="1"/>
    <col min="770" max="770" width="3.6640625" style="256" customWidth="1"/>
    <col min="771" max="771" width="15" style="256" bestFit="1" customWidth="1"/>
    <col min="772" max="772" width="3" style="256" customWidth="1"/>
    <col min="773" max="773" width="15.33203125" style="256" bestFit="1" customWidth="1"/>
    <col min="774" max="775" width="8.88671875" style="256"/>
    <col min="776" max="776" width="17.5546875" style="256" bestFit="1" customWidth="1"/>
    <col min="777" max="1018" width="8.88671875" style="256"/>
    <col min="1019" max="1019" width="21.5546875" style="256" customWidth="1"/>
    <col min="1020" max="1020" width="3.6640625" style="256" customWidth="1"/>
    <col min="1021" max="1021" width="13.44140625" style="256" bestFit="1" customWidth="1"/>
    <col min="1022" max="1022" width="3.6640625" style="256" customWidth="1"/>
    <col min="1023" max="1023" width="12.88671875" style="256" bestFit="1" customWidth="1"/>
    <col min="1024" max="1024" width="3.6640625" style="256" customWidth="1"/>
    <col min="1025" max="1025" width="14.33203125" style="256" bestFit="1" customWidth="1"/>
    <col min="1026" max="1026" width="3.6640625" style="256" customWidth="1"/>
    <col min="1027" max="1027" width="15" style="256" bestFit="1" customWidth="1"/>
    <col min="1028" max="1028" width="3" style="256" customWidth="1"/>
    <col min="1029" max="1029" width="15.33203125" style="256" bestFit="1" customWidth="1"/>
    <col min="1030" max="1031" width="8.88671875" style="256"/>
    <col min="1032" max="1032" width="17.5546875" style="256" bestFit="1" customWidth="1"/>
    <col min="1033" max="1274" width="8.88671875" style="256"/>
    <col min="1275" max="1275" width="21.5546875" style="256" customWidth="1"/>
    <col min="1276" max="1276" width="3.6640625" style="256" customWidth="1"/>
    <col min="1277" max="1277" width="13.44140625" style="256" bestFit="1" customWidth="1"/>
    <col min="1278" max="1278" width="3.6640625" style="256" customWidth="1"/>
    <col min="1279" max="1279" width="12.88671875" style="256" bestFit="1" customWidth="1"/>
    <col min="1280" max="1280" width="3.6640625" style="256" customWidth="1"/>
    <col min="1281" max="1281" width="14.33203125" style="256" bestFit="1" customWidth="1"/>
    <col min="1282" max="1282" width="3.6640625" style="256" customWidth="1"/>
    <col min="1283" max="1283" width="15" style="256" bestFit="1" customWidth="1"/>
    <col min="1284" max="1284" width="3" style="256" customWidth="1"/>
    <col min="1285" max="1285" width="15.33203125" style="256" bestFit="1" customWidth="1"/>
    <col min="1286" max="1287" width="8.88671875" style="256"/>
    <col min="1288" max="1288" width="17.5546875" style="256" bestFit="1" customWidth="1"/>
    <col min="1289" max="1530" width="8.88671875" style="256"/>
    <col min="1531" max="1531" width="21.5546875" style="256" customWidth="1"/>
    <col min="1532" max="1532" width="3.6640625" style="256" customWidth="1"/>
    <col min="1533" max="1533" width="13.44140625" style="256" bestFit="1" customWidth="1"/>
    <col min="1534" max="1534" width="3.6640625" style="256" customWidth="1"/>
    <col min="1535" max="1535" width="12.88671875" style="256" bestFit="1" customWidth="1"/>
    <col min="1536" max="1536" width="3.6640625" style="256" customWidth="1"/>
    <col min="1537" max="1537" width="14.33203125" style="256" bestFit="1" customWidth="1"/>
    <col min="1538" max="1538" width="3.6640625" style="256" customWidth="1"/>
    <col min="1539" max="1539" width="15" style="256" bestFit="1" customWidth="1"/>
    <col min="1540" max="1540" width="3" style="256" customWidth="1"/>
    <col min="1541" max="1541" width="15.33203125" style="256" bestFit="1" customWidth="1"/>
    <col min="1542" max="1543" width="8.88671875" style="256"/>
    <col min="1544" max="1544" width="17.5546875" style="256" bestFit="1" customWidth="1"/>
    <col min="1545" max="1786" width="8.88671875" style="256"/>
    <col min="1787" max="1787" width="21.5546875" style="256" customWidth="1"/>
    <col min="1788" max="1788" width="3.6640625" style="256" customWidth="1"/>
    <col min="1789" max="1789" width="13.44140625" style="256" bestFit="1" customWidth="1"/>
    <col min="1790" max="1790" width="3.6640625" style="256" customWidth="1"/>
    <col min="1791" max="1791" width="12.88671875" style="256" bestFit="1" customWidth="1"/>
    <col min="1792" max="1792" width="3.6640625" style="256" customWidth="1"/>
    <col min="1793" max="1793" width="14.33203125" style="256" bestFit="1" customWidth="1"/>
    <col min="1794" max="1794" width="3.6640625" style="256" customWidth="1"/>
    <col min="1795" max="1795" width="15" style="256" bestFit="1" customWidth="1"/>
    <col min="1796" max="1796" width="3" style="256" customWidth="1"/>
    <col min="1797" max="1797" width="15.33203125" style="256" bestFit="1" customWidth="1"/>
    <col min="1798" max="1799" width="8.88671875" style="256"/>
    <col min="1800" max="1800" width="17.5546875" style="256" bestFit="1" customWidth="1"/>
    <col min="1801" max="2042" width="8.88671875" style="256"/>
    <col min="2043" max="2043" width="21.5546875" style="256" customWidth="1"/>
    <col min="2044" max="2044" width="3.6640625" style="256" customWidth="1"/>
    <col min="2045" max="2045" width="13.44140625" style="256" bestFit="1" customWidth="1"/>
    <col min="2046" max="2046" width="3.6640625" style="256" customWidth="1"/>
    <col min="2047" max="2047" width="12.88671875" style="256" bestFit="1" customWidth="1"/>
    <col min="2048" max="2048" width="3.6640625" style="256" customWidth="1"/>
    <col min="2049" max="2049" width="14.33203125" style="256" bestFit="1" customWidth="1"/>
    <col min="2050" max="2050" width="3.6640625" style="256" customWidth="1"/>
    <col min="2051" max="2051" width="15" style="256" bestFit="1" customWidth="1"/>
    <col min="2052" max="2052" width="3" style="256" customWidth="1"/>
    <col min="2053" max="2053" width="15.33203125" style="256" bestFit="1" customWidth="1"/>
    <col min="2054" max="2055" width="8.88671875" style="256"/>
    <col min="2056" max="2056" width="17.5546875" style="256" bestFit="1" customWidth="1"/>
    <col min="2057" max="2298" width="8.88671875" style="256"/>
    <col min="2299" max="2299" width="21.5546875" style="256" customWidth="1"/>
    <col min="2300" max="2300" width="3.6640625" style="256" customWidth="1"/>
    <col min="2301" max="2301" width="13.44140625" style="256" bestFit="1" customWidth="1"/>
    <col min="2302" max="2302" width="3.6640625" style="256" customWidth="1"/>
    <col min="2303" max="2303" width="12.88671875" style="256" bestFit="1" customWidth="1"/>
    <col min="2304" max="2304" width="3.6640625" style="256" customWidth="1"/>
    <col min="2305" max="2305" width="14.33203125" style="256" bestFit="1" customWidth="1"/>
    <col min="2306" max="2306" width="3.6640625" style="256" customWidth="1"/>
    <col min="2307" max="2307" width="15" style="256" bestFit="1" customWidth="1"/>
    <col min="2308" max="2308" width="3" style="256" customWidth="1"/>
    <col min="2309" max="2309" width="15.33203125" style="256" bestFit="1" customWidth="1"/>
    <col min="2310" max="2311" width="8.88671875" style="256"/>
    <col min="2312" max="2312" width="17.5546875" style="256" bestFit="1" customWidth="1"/>
    <col min="2313" max="2554" width="8.88671875" style="256"/>
    <col min="2555" max="2555" width="21.5546875" style="256" customWidth="1"/>
    <col min="2556" max="2556" width="3.6640625" style="256" customWidth="1"/>
    <col min="2557" max="2557" width="13.44140625" style="256" bestFit="1" customWidth="1"/>
    <col min="2558" max="2558" width="3.6640625" style="256" customWidth="1"/>
    <col min="2559" max="2559" width="12.88671875" style="256" bestFit="1" customWidth="1"/>
    <col min="2560" max="2560" width="3.6640625" style="256" customWidth="1"/>
    <col min="2561" max="2561" width="14.33203125" style="256" bestFit="1" customWidth="1"/>
    <col min="2562" max="2562" width="3.6640625" style="256" customWidth="1"/>
    <col min="2563" max="2563" width="15" style="256" bestFit="1" customWidth="1"/>
    <col min="2564" max="2564" width="3" style="256" customWidth="1"/>
    <col min="2565" max="2565" width="15.33203125" style="256" bestFit="1" customWidth="1"/>
    <col min="2566" max="2567" width="8.88671875" style="256"/>
    <col min="2568" max="2568" width="17.5546875" style="256" bestFit="1" customWidth="1"/>
    <col min="2569" max="2810" width="8.88671875" style="256"/>
    <col min="2811" max="2811" width="21.5546875" style="256" customWidth="1"/>
    <col min="2812" max="2812" width="3.6640625" style="256" customWidth="1"/>
    <col min="2813" max="2813" width="13.44140625" style="256" bestFit="1" customWidth="1"/>
    <col min="2814" max="2814" width="3.6640625" style="256" customWidth="1"/>
    <col min="2815" max="2815" width="12.88671875" style="256" bestFit="1" customWidth="1"/>
    <col min="2816" max="2816" width="3.6640625" style="256" customWidth="1"/>
    <col min="2817" max="2817" width="14.33203125" style="256" bestFit="1" customWidth="1"/>
    <col min="2818" max="2818" width="3.6640625" style="256" customWidth="1"/>
    <col min="2819" max="2819" width="15" style="256" bestFit="1" customWidth="1"/>
    <col min="2820" max="2820" width="3" style="256" customWidth="1"/>
    <col min="2821" max="2821" width="15.33203125" style="256" bestFit="1" customWidth="1"/>
    <col min="2822" max="2823" width="8.88671875" style="256"/>
    <col min="2824" max="2824" width="17.5546875" style="256" bestFit="1" customWidth="1"/>
    <col min="2825" max="3066" width="8.88671875" style="256"/>
    <col min="3067" max="3067" width="21.5546875" style="256" customWidth="1"/>
    <col min="3068" max="3068" width="3.6640625" style="256" customWidth="1"/>
    <col min="3069" max="3069" width="13.44140625" style="256" bestFit="1" customWidth="1"/>
    <col min="3070" max="3070" width="3.6640625" style="256" customWidth="1"/>
    <col min="3071" max="3071" width="12.88671875" style="256" bestFit="1" customWidth="1"/>
    <col min="3072" max="3072" width="3.6640625" style="256" customWidth="1"/>
    <col min="3073" max="3073" width="14.33203125" style="256" bestFit="1" customWidth="1"/>
    <col min="3074" max="3074" width="3.6640625" style="256" customWidth="1"/>
    <col min="3075" max="3075" width="15" style="256" bestFit="1" customWidth="1"/>
    <col min="3076" max="3076" width="3" style="256" customWidth="1"/>
    <col min="3077" max="3077" width="15.33203125" style="256" bestFit="1" customWidth="1"/>
    <col min="3078" max="3079" width="8.88671875" style="256"/>
    <col min="3080" max="3080" width="17.5546875" style="256" bestFit="1" customWidth="1"/>
    <col min="3081" max="3322" width="8.88671875" style="256"/>
    <col min="3323" max="3323" width="21.5546875" style="256" customWidth="1"/>
    <col min="3324" max="3324" width="3.6640625" style="256" customWidth="1"/>
    <col min="3325" max="3325" width="13.44140625" style="256" bestFit="1" customWidth="1"/>
    <col min="3326" max="3326" width="3.6640625" style="256" customWidth="1"/>
    <col min="3327" max="3327" width="12.88671875" style="256" bestFit="1" customWidth="1"/>
    <col min="3328" max="3328" width="3.6640625" style="256" customWidth="1"/>
    <col min="3329" max="3329" width="14.33203125" style="256" bestFit="1" customWidth="1"/>
    <col min="3330" max="3330" width="3.6640625" style="256" customWidth="1"/>
    <col min="3331" max="3331" width="15" style="256" bestFit="1" customWidth="1"/>
    <col min="3332" max="3332" width="3" style="256" customWidth="1"/>
    <col min="3333" max="3333" width="15.33203125" style="256" bestFit="1" customWidth="1"/>
    <col min="3334" max="3335" width="8.88671875" style="256"/>
    <col min="3336" max="3336" width="17.5546875" style="256" bestFit="1" customWidth="1"/>
    <col min="3337" max="3578" width="8.88671875" style="256"/>
    <col min="3579" max="3579" width="21.5546875" style="256" customWidth="1"/>
    <col min="3580" max="3580" width="3.6640625" style="256" customWidth="1"/>
    <col min="3581" max="3581" width="13.44140625" style="256" bestFit="1" customWidth="1"/>
    <col min="3582" max="3582" width="3.6640625" style="256" customWidth="1"/>
    <col min="3583" max="3583" width="12.88671875" style="256" bestFit="1" customWidth="1"/>
    <col min="3584" max="3584" width="3.6640625" style="256" customWidth="1"/>
    <col min="3585" max="3585" width="14.33203125" style="256" bestFit="1" customWidth="1"/>
    <col min="3586" max="3586" width="3.6640625" style="256" customWidth="1"/>
    <col min="3587" max="3587" width="15" style="256" bestFit="1" customWidth="1"/>
    <col min="3588" max="3588" width="3" style="256" customWidth="1"/>
    <col min="3589" max="3589" width="15.33203125" style="256" bestFit="1" customWidth="1"/>
    <col min="3590" max="3591" width="8.88671875" style="256"/>
    <col min="3592" max="3592" width="17.5546875" style="256" bestFit="1" customWidth="1"/>
    <col min="3593" max="3834" width="8.88671875" style="256"/>
    <col min="3835" max="3835" width="21.5546875" style="256" customWidth="1"/>
    <col min="3836" max="3836" width="3.6640625" style="256" customWidth="1"/>
    <col min="3837" max="3837" width="13.44140625" style="256" bestFit="1" customWidth="1"/>
    <col min="3838" max="3838" width="3.6640625" style="256" customWidth="1"/>
    <col min="3839" max="3839" width="12.88671875" style="256" bestFit="1" customWidth="1"/>
    <col min="3840" max="3840" width="3.6640625" style="256" customWidth="1"/>
    <col min="3841" max="3841" width="14.33203125" style="256" bestFit="1" customWidth="1"/>
    <col min="3842" max="3842" width="3.6640625" style="256" customWidth="1"/>
    <col min="3843" max="3843" width="15" style="256" bestFit="1" customWidth="1"/>
    <col min="3844" max="3844" width="3" style="256" customWidth="1"/>
    <col min="3845" max="3845" width="15.33203125" style="256" bestFit="1" customWidth="1"/>
    <col min="3846" max="3847" width="8.88671875" style="256"/>
    <col min="3848" max="3848" width="17.5546875" style="256" bestFit="1" customWidth="1"/>
    <col min="3849" max="4090" width="8.88671875" style="256"/>
    <col min="4091" max="4091" width="21.5546875" style="256" customWidth="1"/>
    <col min="4092" max="4092" width="3.6640625" style="256" customWidth="1"/>
    <col min="4093" max="4093" width="13.44140625" style="256" bestFit="1" customWidth="1"/>
    <col min="4094" max="4094" width="3.6640625" style="256" customWidth="1"/>
    <col min="4095" max="4095" width="12.88671875" style="256" bestFit="1" customWidth="1"/>
    <col min="4096" max="4096" width="3.6640625" style="256" customWidth="1"/>
    <col min="4097" max="4097" width="14.33203125" style="256" bestFit="1" customWidth="1"/>
    <col min="4098" max="4098" width="3.6640625" style="256" customWidth="1"/>
    <col min="4099" max="4099" width="15" style="256" bestFit="1" customWidth="1"/>
    <col min="4100" max="4100" width="3" style="256" customWidth="1"/>
    <col min="4101" max="4101" width="15.33203125" style="256" bestFit="1" customWidth="1"/>
    <col min="4102" max="4103" width="8.88671875" style="256"/>
    <col min="4104" max="4104" width="17.5546875" style="256" bestFit="1" customWidth="1"/>
    <col min="4105" max="4346" width="8.88671875" style="256"/>
    <col min="4347" max="4347" width="21.5546875" style="256" customWidth="1"/>
    <col min="4348" max="4348" width="3.6640625" style="256" customWidth="1"/>
    <col min="4349" max="4349" width="13.44140625" style="256" bestFit="1" customWidth="1"/>
    <col min="4350" max="4350" width="3.6640625" style="256" customWidth="1"/>
    <col min="4351" max="4351" width="12.88671875" style="256" bestFit="1" customWidth="1"/>
    <col min="4352" max="4352" width="3.6640625" style="256" customWidth="1"/>
    <col min="4353" max="4353" width="14.33203125" style="256" bestFit="1" customWidth="1"/>
    <col min="4354" max="4354" width="3.6640625" style="256" customWidth="1"/>
    <col min="4355" max="4355" width="15" style="256" bestFit="1" customWidth="1"/>
    <col min="4356" max="4356" width="3" style="256" customWidth="1"/>
    <col min="4357" max="4357" width="15.33203125" style="256" bestFit="1" customWidth="1"/>
    <col min="4358" max="4359" width="8.88671875" style="256"/>
    <col min="4360" max="4360" width="17.5546875" style="256" bestFit="1" customWidth="1"/>
    <col min="4361" max="4602" width="8.88671875" style="256"/>
    <col min="4603" max="4603" width="21.5546875" style="256" customWidth="1"/>
    <col min="4604" max="4604" width="3.6640625" style="256" customWidth="1"/>
    <col min="4605" max="4605" width="13.44140625" style="256" bestFit="1" customWidth="1"/>
    <col min="4606" max="4606" width="3.6640625" style="256" customWidth="1"/>
    <col min="4607" max="4607" width="12.88671875" style="256" bestFit="1" customWidth="1"/>
    <col min="4608" max="4608" width="3.6640625" style="256" customWidth="1"/>
    <col min="4609" max="4609" width="14.33203125" style="256" bestFit="1" customWidth="1"/>
    <col min="4610" max="4610" width="3.6640625" style="256" customWidth="1"/>
    <col min="4611" max="4611" width="15" style="256" bestFit="1" customWidth="1"/>
    <col min="4612" max="4612" width="3" style="256" customWidth="1"/>
    <col min="4613" max="4613" width="15.33203125" style="256" bestFit="1" customWidth="1"/>
    <col min="4614" max="4615" width="8.88671875" style="256"/>
    <col min="4616" max="4616" width="17.5546875" style="256" bestFit="1" customWidth="1"/>
    <col min="4617" max="4858" width="8.88671875" style="256"/>
    <col min="4859" max="4859" width="21.5546875" style="256" customWidth="1"/>
    <col min="4860" max="4860" width="3.6640625" style="256" customWidth="1"/>
    <col min="4861" max="4861" width="13.44140625" style="256" bestFit="1" customWidth="1"/>
    <col min="4862" max="4862" width="3.6640625" style="256" customWidth="1"/>
    <col min="4863" max="4863" width="12.88671875" style="256" bestFit="1" customWidth="1"/>
    <col min="4864" max="4864" width="3.6640625" style="256" customWidth="1"/>
    <col min="4865" max="4865" width="14.33203125" style="256" bestFit="1" customWidth="1"/>
    <col min="4866" max="4866" width="3.6640625" style="256" customWidth="1"/>
    <col min="4867" max="4867" width="15" style="256" bestFit="1" customWidth="1"/>
    <col min="4868" max="4868" width="3" style="256" customWidth="1"/>
    <col min="4869" max="4869" width="15.33203125" style="256" bestFit="1" customWidth="1"/>
    <col min="4870" max="4871" width="8.88671875" style="256"/>
    <col min="4872" max="4872" width="17.5546875" style="256" bestFit="1" customWidth="1"/>
    <col min="4873" max="5114" width="8.88671875" style="256"/>
    <col min="5115" max="5115" width="21.5546875" style="256" customWidth="1"/>
    <col min="5116" max="5116" width="3.6640625" style="256" customWidth="1"/>
    <col min="5117" max="5117" width="13.44140625" style="256" bestFit="1" customWidth="1"/>
    <col min="5118" max="5118" width="3.6640625" style="256" customWidth="1"/>
    <col min="5119" max="5119" width="12.88671875" style="256" bestFit="1" customWidth="1"/>
    <col min="5120" max="5120" width="3.6640625" style="256" customWidth="1"/>
    <col min="5121" max="5121" width="14.33203125" style="256" bestFit="1" customWidth="1"/>
    <col min="5122" max="5122" width="3.6640625" style="256" customWidth="1"/>
    <col min="5123" max="5123" width="15" style="256" bestFit="1" customWidth="1"/>
    <col min="5124" max="5124" width="3" style="256" customWidth="1"/>
    <col min="5125" max="5125" width="15.33203125" style="256" bestFit="1" customWidth="1"/>
    <col min="5126" max="5127" width="8.88671875" style="256"/>
    <col min="5128" max="5128" width="17.5546875" style="256" bestFit="1" customWidth="1"/>
    <col min="5129" max="5370" width="8.88671875" style="256"/>
    <col min="5371" max="5371" width="21.5546875" style="256" customWidth="1"/>
    <col min="5372" max="5372" width="3.6640625" style="256" customWidth="1"/>
    <col min="5373" max="5373" width="13.44140625" style="256" bestFit="1" customWidth="1"/>
    <col min="5374" max="5374" width="3.6640625" style="256" customWidth="1"/>
    <col min="5375" max="5375" width="12.88671875" style="256" bestFit="1" customWidth="1"/>
    <col min="5376" max="5376" width="3.6640625" style="256" customWidth="1"/>
    <col min="5377" max="5377" width="14.33203125" style="256" bestFit="1" customWidth="1"/>
    <col min="5378" max="5378" width="3.6640625" style="256" customWidth="1"/>
    <col min="5379" max="5379" width="15" style="256" bestFit="1" customWidth="1"/>
    <col min="5380" max="5380" width="3" style="256" customWidth="1"/>
    <col min="5381" max="5381" width="15.33203125" style="256" bestFit="1" customWidth="1"/>
    <col min="5382" max="5383" width="8.88671875" style="256"/>
    <col min="5384" max="5384" width="17.5546875" style="256" bestFit="1" customWidth="1"/>
    <col min="5385" max="5626" width="8.88671875" style="256"/>
    <col min="5627" max="5627" width="21.5546875" style="256" customWidth="1"/>
    <col min="5628" max="5628" width="3.6640625" style="256" customWidth="1"/>
    <col min="5629" max="5629" width="13.44140625" style="256" bestFit="1" customWidth="1"/>
    <col min="5630" max="5630" width="3.6640625" style="256" customWidth="1"/>
    <col min="5631" max="5631" width="12.88671875" style="256" bestFit="1" customWidth="1"/>
    <col min="5632" max="5632" width="3.6640625" style="256" customWidth="1"/>
    <col min="5633" max="5633" width="14.33203125" style="256" bestFit="1" customWidth="1"/>
    <col min="5634" max="5634" width="3.6640625" style="256" customWidth="1"/>
    <col min="5635" max="5635" width="15" style="256" bestFit="1" customWidth="1"/>
    <col min="5636" max="5636" width="3" style="256" customWidth="1"/>
    <col min="5637" max="5637" width="15.33203125" style="256" bestFit="1" customWidth="1"/>
    <col min="5638" max="5639" width="8.88671875" style="256"/>
    <col min="5640" max="5640" width="17.5546875" style="256" bestFit="1" customWidth="1"/>
    <col min="5641" max="5882" width="8.88671875" style="256"/>
    <col min="5883" max="5883" width="21.5546875" style="256" customWidth="1"/>
    <col min="5884" max="5884" width="3.6640625" style="256" customWidth="1"/>
    <col min="5885" max="5885" width="13.44140625" style="256" bestFit="1" customWidth="1"/>
    <col min="5886" max="5886" width="3.6640625" style="256" customWidth="1"/>
    <col min="5887" max="5887" width="12.88671875" style="256" bestFit="1" customWidth="1"/>
    <col min="5888" max="5888" width="3.6640625" style="256" customWidth="1"/>
    <col min="5889" max="5889" width="14.33203125" style="256" bestFit="1" customWidth="1"/>
    <col min="5890" max="5890" width="3.6640625" style="256" customWidth="1"/>
    <col min="5891" max="5891" width="15" style="256" bestFit="1" customWidth="1"/>
    <col min="5892" max="5892" width="3" style="256" customWidth="1"/>
    <col min="5893" max="5893" width="15.33203125" style="256" bestFit="1" customWidth="1"/>
    <col min="5894" max="5895" width="8.88671875" style="256"/>
    <col min="5896" max="5896" width="17.5546875" style="256" bestFit="1" customWidth="1"/>
    <col min="5897" max="6138" width="8.88671875" style="256"/>
    <col min="6139" max="6139" width="21.5546875" style="256" customWidth="1"/>
    <col min="6140" max="6140" width="3.6640625" style="256" customWidth="1"/>
    <col min="6141" max="6141" width="13.44140625" style="256" bestFit="1" customWidth="1"/>
    <col min="6142" max="6142" width="3.6640625" style="256" customWidth="1"/>
    <col min="6143" max="6143" width="12.88671875" style="256" bestFit="1" customWidth="1"/>
    <col min="6144" max="6144" width="3.6640625" style="256" customWidth="1"/>
    <col min="6145" max="6145" width="14.33203125" style="256" bestFit="1" customWidth="1"/>
    <col min="6146" max="6146" width="3.6640625" style="256" customWidth="1"/>
    <col min="6147" max="6147" width="15" style="256" bestFit="1" customWidth="1"/>
    <col min="6148" max="6148" width="3" style="256" customWidth="1"/>
    <col min="6149" max="6149" width="15.33203125" style="256" bestFit="1" customWidth="1"/>
    <col min="6150" max="6151" width="8.88671875" style="256"/>
    <col min="6152" max="6152" width="17.5546875" style="256" bestFit="1" customWidth="1"/>
    <col min="6153" max="6394" width="8.88671875" style="256"/>
    <col min="6395" max="6395" width="21.5546875" style="256" customWidth="1"/>
    <col min="6396" max="6396" width="3.6640625" style="256" customWidth="1"/>
    <col min="6397" max="6397" width="13.44140625" style="256" bestFit="1" customWidth="1"/>
    <col min="6398" max="6398" width="3.6640625" style="256" customWidth="1"/>
    <col min="6399" max="6399" width="12.88671875" style="256" bestFit="1" customWidth="1"/>
    <col min="6400" max="6400" width="3.6640625" style="256" customWidth="1"/>
    <col min="6401" max="6401" width="14.33203125" style="256" bestFit="1" customWidth="1"/>
    <col min="6402" max="6402" width="3.6640625" style="256" customWidth="1"/>
    <col min="6403" max="6403" width="15" style="256" bestFit="1" customWidth="1"/>
    <col min="6404" max="6404" width="3" style="256" customWidth="1"/>
    <col min="6405" max="6405" width="15.33203125" style="256" bestFit="1" customWidth="1"/>
    <col min="6406" max="6407" width="8.88671875" style="256"/>
    <col min="6408" max="6408" width="17.5546875" style="256" bestFit="1" customWidth="1"/>
    <col min="6409" max="6650" width="8.88671875" style="256"/>
    <col min="6651" max="6651" width="21.5546875" style="256" customWidth="1"/>
    <col min="6652" max="6652" width="3.6640625" style="256" customWidth="1"/>
    <col min="6653" max="6653" width="13.44140625" style="256" bestFit="1" customWidth="1"/>
    <col min="6654" max="6654" width="3.6640625" style="256" customWidth="1"/>
    <col min="6655" max="6655" width="12.88671875" style="256" bestFit="1" customWidth="1"/>
    <col min="6656" max="6656" width="3.6640625" style="256" customWidth="1"/>
    <col min="6657" max="6657" width="14.33203125" style="256" bestFit="1" customWidth="1"/>
    <col min="6658" max="6658" width="3.6640625" style="256" customWidth="1"/>
    <col min="6659" max="6659" width="15" style="256" bestFit="1" customWidth="1"/>
    <col min="6660" max="6660" width="3" style="256" customWidth="1"/>
    <col min="6661" max="6661" width="15.33203125" style="256" bestFit="1" customWidth="1"/>
    <col min="6662" max="6663" width="8.88671875" style="256"/>
    <col min="6664" max="6664" width="17.5546875" style="256" bestFit="1" customWidth="1"/>
    <col min="6665" max="6906" width="8.88671875" style="256"/>
    <col min="6907" max="6907" width="21.5546875" style="256" customWidth="1"/>
    <col min="6908" max="6908" width="3.6640625" style="256" customWidth="1"/>
    <col min="6909" max="6909" width="13.44140625" style="256" bestFit="1" customWidth="1"/>
    <col min="6910" max="6910" width="3.6640625" style="256" customWidth="1"/>
    <col min="6911" max="6911" width="12.88671875" style="256" bestFit="1" customWidth="1"/>
    <col min="6912" max="6912" width="3.6640625" style="256" customWidth="1"/>
    <col min="6913" max="6913" width="14.33203125" style="256" bestFit="1" customWidth="1"/>
    <col min="6914" max="6914" width="3.6640625" style="256" customWidth="1"/>
    <col min="6915" max="6915" width="15" style="256" bestFit="1" customWidth="1"/>
    <col min="6916" max="6916" width="3" style="256" customWidth="1"/>
    <col min="6917" max="6917" width="15.33203125" style="256" bestFit="1" customWidth="1"/>
    <col min="6918" max="6919" width="8.88671875" style="256"/>
    <col min="6920" max="6920" width="17.5546875" style="256" bestFit="1" customWidth="1"/>
    <col min="6921" max="7162" width="8.88671875" style="256"/>
    <col min="7163" max="7163" width="21.5546875" style="256" customWidth="1"/>
    <col min="7164" max="7164" width="3.6640625" style="256" customWidth="1"/>
    <col min="7165" max="7165" width="13.44140625" style="256" bestFit="1" customWidth="1"/>
    <col min="7166" max="7166" width="3.6640625" style="256" customWidth="1"/>
    <col min="7167" max="7167" width="12.88671875" style="256" bestFit="1" customWidth="1"/>
    <col min="7168" max="7168" width="3.6640625" style="256" customWidth="1"/>
    <col min="7169" max="7169" width="14.33203125" style="256" bestFit="1" customWidth="1"/>
    <col min="7170" max="7170" width="3.6640625" style="256" customWidth="1"/>
    <col min="7171" max="7171" width="15" style="256" bestFit="1" customWidth="1"/>
    <col min="7172" max="7172" width="3" style="256" customWidth="1"/>
    <col min="7173" max="7173" width="15.33203125" style="256" bestFit="1" customWidth="1"/>
    <col min="7174" max="7175" width="8.88671875" style="256"/>
    <col min="7176" max="7176" width="17.5546875" style="256" bestFit="1" customWidth="1"/>
    <col min="7177" max="7418" width="8.88671875" style="256"/>
    <col min="7419" max="7419" width="21.5546875" style="256" customWidth="1"/>
    <col min="7420" max="7420" width="3.6640625" style="256" customWidth="1"/>
    <col min="7421" max="7421" width="13.44140625" style="256" bestFit="1" customWidth="1"/>
    <col min="7422" max="7422" width="3.6640625" style="256" customWidth="1"/>
    <col min="7423" max="7423" width="12.88671875" style="256" bestFit="1" customWidth="1"/>
    <col min="7424" max="7424" width="3.6640625" style="256" customWidth="1"/>
    <col min="7425" max="7425" width="14.33203125" style="256" bestFit="1" customWidth="1"/>
    <col min="7426" max="7426" width="3.6640625" style="256" customWidth="1"/>
    <col min="7427" max="7427" width="15" style="256" bestFit="1" customWidth="1"/>
    <col min="7428" max="7428" width="3" style="256" customWidth="1"/>
    <col min="7429" max="7429" width="15.33203125" style="256" bestFit="1" customWidth="1"/>
    <col min="7430" max="7431" width="8.88671875" style="256"/>
    <col min="7432" max="7432" width="17.5546875" style="256" bestFit="1" customWidth="1"/>
    <col min="7433" max="7674" width="8.88671875" style="256"/>
    <col min="7675" max="7675" width="21.5546875" style="256" customWidth="1"/>
    <col min="7676" max="7676" width="3.6640625" style="256" customWidth="1"/>
    <col min="7677" max="7677" width="13.44140625" style="256" bestFit="1" customWidth="1"/>
    <col min="7678" max="7678" width="3.6640625" style="256" customWidth="1"/>
    <col min="7679" max="7679" width="12.88671875" style="256" bestFit="1" customWidth="1"/>
    <col min="7680" max="7680" width="3.6640625" style="256" customWidth="1"/>
    <col min="7681" max="7681" width="14.33203125" style="256" bestFit="1" customWidth="1"/>
    <col min="7682" max="7682" width="3.6640625" style="256" customWidth="1"/>
    <col min="7683" max="7683" width="15" style="256" bestFit="1" customWidth="1"/>
    <col min="7684" max="7684" width="3" style="256" customWidth="1"/>
    <col min="7685" max="7685" width="15.33203125" style="256" bestFit="1" customWidth="1"/>
    <col min="7686" max="7687" width="8.88671875" style="256"/>
    <col min="7688" max="7688" width="17.5546875" style="256" bestFit="1" customWidth="1"/>
    <col min="7689" max="7930" width="8.88671875" style="256"/>
    <col min="7931" max="7931" width="21.5546875" style="256" customWidth="1"/>
    <col min="7932" max="7932" width="3.6640625" style="256" customWidth="1"/>
    <col min="7933" max="7933" width="13.44140625" style="256" bestFit="1" customWidth="1"/>
    <col min="7934" max="7934" width="3.6640625" style="256" customWidth="1"/>
    <col min="7935" max="7935" width="12.88671875" style="256" bestFit="1" customWidth="1"/>
    <col min="7936" max="7936" width="3.6640625" style="256" customWidth="1"/>
    <col min="7937" max="7937" width="14.33203125" style="256" bestFit="1" customWidth="1"/>
    <col min="7938" max="7938" width="3.6640625" style="256" customWidth="1"/>
    <col min="7939" max="7939" width="15" style="256" bestFit="1" customWidth="1"/>
    <col min="7940" max="7940" width="3" style="256" customWidth="1"/>
    <col min="7941" max="7941" width="15.33203125" style="256" bestFit="1" customWidth="1"/>
    <col min="7942" max="7943" width="8.88671875" style="256"/>
    <col min="7944" max="7944" width="17.5546875" style="256" bestFit="1" customWidth="1"/>
    <col min="7945" max="8186" width="8.88671875" style="256"/>
    <col min="8187" max="8187" width="21.5546875" style="256" customWidth="1"/>
    <col min="8188" max="8188" width="3.6640625" style="256" customWidth="1"/>
    <col min="8189" max="8189" width="13.44140625" style="256" bestFit="1" customWidth="1"/>
    <col min="8190" max="8190" width="3.6640625" style="256" customWidth="1"/>
    <col min="8191" max="8191" width="12.88671875" style="256" bestFit="1" customWidth="1"/>
    <col min="8192" max="8192" width="3.6640625" style="256" customWidth="1"/>
    <col min="8193" max="8193" width="14.33203125" style="256" bestFit="1" customWidth="1"/>
    <col min="8194" max="8194" width="3.6640625" style="256" customWidth="1"/>
    <col min="8195" max="8195" width="15" style="256" bestFit="1" customWidth="1"/>
    <col min="8196" max="8196" width="3" style="256" customWidth="1"/>
    <col min="8197" max="8197" width="15.33203125" style="256" bestFit="1" customWidth="1"/>
    <col min="8198" max="8199" width="8.88671875" style="256"/>
    <col min="8200" max="8200" width="17.5546875" style="256" bestFit="1" customWidth="1"/>
    <col min="8201" max="8442" width="8.88671875" style="256"/>
    <col min="8443" max="8443" width="21.5546875" style="256" customWidth="1"/>
    <col min="8444" max="8444" width="3.6640625" style="256" customWidth="1"/>
    <col min="8445" max="8445" width="13.44140625" style="256" bestFit="1" customWidth="1"/>
    <col min="8446" max="8446" width="3.6640625" style="256" customWidth="1"/>
    <col min="8447" max="8447" width="12.88671875" style="256" bestFit="1" customWidth="1"/>
    <col min="8448" max="8448" width="3.6640625" style="256" customWidth="1"/>
    <col min="8449" max="8449" width="14.33203125" style="256" bestFit="1" customWidth="1"/>
    <col min="8450" max="8450" width="3.6640625" style="256" customWidth="1"/>
    <col min="8451" max="8451" width="15" style="256" bestFit="1" customWidth="1"/>
    <col min="8452" max="8452" width="3" style="256" customWidth="1"/>
    <col min="8453" max="8453" width="15.33203125" style="256" bestFit="1" customWidth="1"/>
    <col min="8454" max="8455" width="8.88671875" style="256"/>
    <col min="8456" max="8456" width="17.5546875" style="256" bestFit="1" customWidth="1"/>
    <col min="8457" max="8698" width="8.88671875" style="256"/>
    <col min="8699" max="8699" width="21.5546875" style="256" customWidth="1"/>
    <col min="8700" max="8700" width="3.6640625" style="256" customWidth="1"/>
    <col min="8701" max="8701" width="13.44140625" style="256" bestFit="1" customWidth="1"/>
    <col min="8702" max="8702" width="3.6640625" style="256" customWidth="1"/>
    <col min="8703" max="8703" width="12.88671875" style="256" bestFit="1" customWidth="1"/>
    <col min="8704" max="8704" width="3.6640625" style="256" customWidth="1"/>
    <col min="8705" max="8705" width="14.33203125" style="256" bestFit="1" customWidth="1"/>
    <col min="8706" max="8706" width="3.6640625" style="256" customWidth="1"/>
    <col min="8707" max="8707" width="15" style="256" bestFit="1" customWidth="1"/>
    <col min="8708" max="8708" width="3" style="256" customWidth="1"/>
    <col min="8709" max="8709" width="15.33203125" style="256" bestFit="1" customWidth="1"/>
    <col min="8710" max="8711" width="8.88671875" style="256"/>
    <col min="8712" max="8712" width="17.5546875" style="256" bestFit="1" customWidth="1"/>
    <col min="8713" max="8954" width="8.88671875" style="256"/>
    <col min="8955" max="8955" width="21.5546875" style="256" customWidth="1"/>
    <col min="8956" max="8956" width="3.6640625" style="256" customWidth="1"/>
    <col min="8957" max="8957" width="13.44140625" style="256" bestFit="1" customWidth="1"/>
    <col min="8958" max="8958" width="3.6640625" style="256" customWidth="1"/>
    <col min="8959" max="8959" width="12.88671875" style="256" bestFit="1" customWidth="1"/>
    <col min="8960" max="8960" width="3.6640625" style="256" customWidth="1"/>
    <col min="8961" max="8961" width="14.33203125" style="256" bestFit="1" customWidth="1"/>
    <col min="8962" max="8962" width="3.6640625" style="256" customWidth="1"/>
    <col min="8963" max="8963" width="15" style="256" bestFit="1" customWidth="1"/>
    <col min="8964" max="8964" width="3" style="256" customWidth="1"/>
    <col min="8965" max="8965" width="15.33203125" style="256" bestFit="1" customWidth="1"/>
    <col min="8966" max="8967" width="8.88671875" style="256"/>
    <col min="8968" max="8968" width="17.5546875" style="256" bestFit="1" customWidth="1"/>
    <col min="8969" max="9210" width="8.88671875" style="256"/>
    <col min="9211" max="9211" width="21.5546875" style="256" customWidth="1"/>
    <col min="9212" max="9212" width="3.6640625" style="256" customWidth="1"/>
    <col min="9213" max="9213" width="13.44140625" style="256" bestFit="1" customWidth="1"/>
    <col min="9214" max="9214" width="3.6640625" style="256" customWidth="1"/>
    <col min="9215" max="9215" width="12.88671875" style="256" bestFit="1" customWidth="1"/>
    <col min="9216" max="9216" width="3.6640625" style="256" customWidth="1"/>
    <col min="9217" max="9217" width="14.33203125" style="256" bestFit="1" customWidth="1"/>
    <col min="9218" max="9218" width="3.6640625" style="256" customWidth="1"/>
    <col min="9219" max="9219" width="15" style="256" bestFit="1" customWidth="1"/>
    <col min="9220" max="9220" width="3" style="256" customWidth="1"/>
    <col min="9221" max="9221" width="15.33203125" style="256" bestFit="1" customWidth="1"/>
    <col min="9222" max="9223" width="8.88671875" style="256"/>
    <col min="9224" max="9224" width="17.5546875" style="256" bestFit="1" customWidth="1"/>
    <col min="9225" max="9466" width="8.88671875" style="256"/>
    <col min="9467" max="9467" width="21.5546875" style="256" customWidth="1"/>
    <col min="9468" max="9468" width="3.6640625" style="256" customWidth="1"/>
    <col min="9469" max="9469" width="13.44140625" style="256" bestFit="1" customWidth="1"/>
    <col min="9470" max="9470" width="3.6640625" style="256" customWidth="1"/>
    <col min="9471" max="9471" width="12.88671875" style="256" bestFit="1" customWidth="1"/>
    <col min="9472" max="9472" width="3.6640625" style="256" customWidth="1"/>
    <col min="9473" max="9473" width="14.33203125" style="256" bestFit="1" customWidth="1"/>
    <col min="9474" max="9474" width="3.6640625" style="256" customWidth="1"/>
    <col min="9475" max="9475" width="15" style="256" bestFit="1" customWidth="1"/>
    <col min="9476" max="9476" width="3" style="256" customWidth="1"/>
    <col min="9477" max="9477" width="15.33203125" style="256" bestFit="1" customWidth="1"/>
    <col min="9478" max="9479" width="8.88671875" style="256"/>
    <col min="9480" max="9480" width="17.5546875" style="256" bestFit="1" customWidth="1"/>
    <col min="9481" max="9722" width="8.88671875" style="256"/>
    <col min="9723" max="9723" width="21.5546875" style="256" customWidth="1"/>
    <col min="9724" max="9724" width="3.6640625" style="256" customWidth="1"/>
    <col min="9725" max="9725" width="13.44140625" style="256" bestFit="1" customWidth="1"/>
    <col min="9726" max="9726" width="3.6640625" style="256" customWidth="1"/>
    <col min="9727" max="9727" width="12.88671875" style="256" bestFit="1" customWidth="1"/>
    <col min="9728" max="9728" width="3.6640625" style="256" customWidth="1"/>
    <col min="9729" max="9729" width="14.33203125" style="256" bestFit="1" customWidth="1"/>
    <col min="9730" max="9730" width="3.6640625" style="256" customWidth="1"/>
    <col min="9731" max="9731" width="15" style="256" bestFit="1" customWidth="1"/>
    <col min="9732" max="9732" width="3" style="256" customWidth="1"/>
    <col min="9733" max="9733" width="15.33203125" style="256" bestFit="1" customWidth="1"/>
    <col min="9734" max="9735" width="8.88671875" style="256"/>
    <col min="9736" max="9736" width="17.5546875" style="256" bestFit="1" customWidth="1"/>
    <col min="9737" max="9978" width="8.88671875" style="256"/>
    <col min="9979" max="9979" width="21.5546875" style="256" customWidth="1"/>
    <col min="9980" max="9980" width="3.6640625" style="256" customWidth="1"/>
    <col min="9981" max="9981" width="13.44140625" style="256" bestFit="1" customWidth="1"/>
    <col min="9982" max="9982" width="3.6640625" style="256" customWidth="1"/>
    <col min="9983" max="9983" width="12.88671875" style="256" bestFit="1" customWidth="1"/>
    <col min="9984" max="9984" width="3.6640625" style="256" customWidth="1"/>
    <col min="9985" max="9985" width="14.33203125" style="256" bestFit="1" customWidth="1"/>
    <col min="9986" max="9986" width="3.6640625" style="256" customWidth="1"/>
    <col min="9987" max="9987" width="15" style="256" bestFit="1" customWidth="1"/>
    <col min="9988" max="9988" width="3" style="256" customWidth="1"/>
    <col min="9989" max="9989" width="15.33203125" style="256" bestFit="1" customWidth="1"/>
    <col min="9990" max="9991" width="8.88671875" style="256"/>
    <col min="9992" max="9992" width="17.5546875" style="256" bestFit="1" customWidth="1"/>
    <col min="9993" max="10234" width="8.88671875" style="256"/>
    <col min="10235" max="10235" width="21.5546875" style="256" customWidth="1"/>
    <col min="10236" max="10236" width="3.6640625" style="256" customWidth="1"/>
    <col min="10237" max="10237" width="13.44140625" style="256" bestFit="1" customWidth="1"/>
    <col min="10238" max="10238" width="3.6640625" style="256" customWidth="1"/>
    <col min="10239" max="10239" width="12.88671875" style="256" bestFit="1" customWidth="1"/>
    <col min="10240" max="10240" width="3.6640625" style="256" customWidth="1"/>
    <col min="10241" max="10241" width="14.33203125" style="256" bestFit="1" customWidth="1"/>
    <col min="10242" max="10242" width="3.6640625" style="256" customWidth="1"/>
    <col min="10243" max="10243" width="15" style="256" bestFit="1" customWidth="1"/>
    <col min="10244" max="10244" width="3" style="256" customWidth="1"/>
    <col min="10245" max="10245" width="15.33203125" style="256" bestFit="1" customWidth="1"/>
    <col min="10246" max="10247" width="8.88671875" style="256"/>
    <col min="10248" max="10248" width="17.5546875" style="256" bestFit="1" customWidth="1"/>
    <col min="10249" max="10490" width="8.88671875" style="256"/>
    <col min="10491" max="10491" width="21.5546875" style="256" customWidth="1"/>
    <col min="10492" max="10492" width="3.6640625" style="256" customWidth="1"/>
    <col min="10493" max="10493" width="13.44140625" style="256" bestFit="1" customWidth="1"/>
    <col min="10494" max="10494" width="3.6640625" style="256" customWidth="1"/>
    <col min="10495" max="10495" width="12.88671875" style="256" bestFit="1" customWidth="1"/>
    <col min="10496" max="10496" width="3.6640625" style="256" customWidth="1"/>
    <col min="10497" max="10497" width="14.33203125" style="256" bestFit="1" customWidth="1"/>
    <col min="10498" max="10498" width="3.6640625" style="256" customWidth="1"/>
    <col min="10499" max="10499" width="15" style="256" bestFit="1" customWidth="1"/>
    <col min="10500" max="10500" width="3" style="256" customWidth="1"/>
    <col min="10501" max="10501" width="15.33203125" style="256" bestFit="1" customWidth="1"/>
    <col min="10502" max="10503" width="8.88671875" style="256"/>
    <col min="10504" max="10504" width="17.5546875" style="256" bestFit="1" customWidth="1"/>
    <col min="10505" max="10746" width="8.88671875" style="256"/>
    <col min="10747" max="10747" width="21.5546875" style="256" customWidth="1"/>
    <col min="10748" max="10748" width="3.6640625" style="256" customWidth="1"/>
    <col min="10749" max="10749" width="13.44140625" style="256" bestFit="1" customWidth="1"/>
    <col min="10750" max="10750" width="3.6640625" style="256" customWidth="1"/>
    <col min="10751" max="10751" width="12.88671875" style="256" bestFit="1" customWidth="1"/>
    <col min="10752" max="10752" width="3.6640625" style="256" customWidth="1"/>
    <col min="10753" max="10753" width="14.33203125" style="256" bestFit="1" customWidth="1"/>
    <col min="10754" max="10754" width="3.6640625" style="256" customWidth="1"/>
    <col min="10755" max="10755" width="15" style="256" bestFit="1" customWidth="1"/>
    <col min="10756" max="10756" width="3" style="256" customWidth="1"/>
    <col min="10757" max="10757" width="15.33203125" style="256" bestFit="1" customWidth="1"/>
    <col min="10758" max="10759" width="8.88671875" style="256"/>
    <col min="10760" max="10760" width="17.5546875" style="256" bestFit="1" customWidth="1"/>
    <col min="10761" max="11002" width="8.88671875" style="256"/>
    <col min="11003" max="11003" width="21.5546875" style="256" customWidth="1"/>
    <col min="11004" max="11004" width="3.6640625" style="256" customWidth="1"/>
    <col min="11005" max="11005" width="13.44140625" style="256" bestFit="1" customWidth="1"/>
    <col min="11006" max="11006" width="3.6640625" style="256" customWidth="1"/>
    <col min="11007" max="11007" width="12.88671875" style="256" bestFit="1" customWidth="1"/>
    <col min="11008" max="11008" width="3.6640625" style="256" customWidth="1"/>
    <col min="11009" max="11009" width="14.33203125" style="256" bestFit="1" customWidth="1"/>
    <col min="11010" max="11010" width="3.6640625" style="256" customWidth="1"/>
    <col min="11011" max="11011" width="15" style="256" bestFit="1" customWidth="1"/>
    <col min="11012" max="11012" width="3" style="256" customWidth="1"/>
    <col min="11013" max="11013" width="15.33203125" style="256" bestFit="1" customWidth="1"/>
    <col min="11014" max="11015" width="8.88671875" style="256"/>
    <col min="11016" max="11016" width="17.5546875" style="256" bestFit="1" customWidth="1"/>
    <col min="11017" max="11258" width="8.88671875" style="256"/>
    <col min="11259" max="11259" width="21.5546875" style="256" customWidth="1"/>
    <col min="11260" max="11260" width="3.6640625" style="256" customWidth="1"/>
    <col min="11261" max="11261" width="13.44140625" style="256" bestFit="1" customWidth="1"/>
    <col min="11262" max="11262" width="3.6640625" style="256" customWidth="1"/>
    <col min="11263" max="11263" width="12.88671875" style="256" bestFit="1" customWidth="1"/>
    <col min="11264" max="11264" width="3.6640625" style="256" customWidth="1"/>
    <col min="11265" max="11265" width="14.33203125" style="256" bestFit="1" customWidth="1"/>
    <col min="11266" max="11266" width="3.6640625" style="256" customWidth="1"/>
    <col min="11267" max="11267" width="15" style="256" bestFit="1" customWidth="1"/>
    <col min="11268" max="11268" width="3" style="256" customWidth="1"/>
    <col min="11269" max="11269" width="15.33203125" style="256" bestFit="1" customWidth="1"/>
    <col min="11270" max="11271" width="8.88671875" style="256"/>
    <col min="11272" max="11272" width="17.5546875" style="256" bestFit="1" customWidth="1"/>
    <col min="11273" max="11514" width="8.88671875" style="256"/>
    <col min="11515" max="11515" width="21.5546875" style="256" customWidth="1"/>
    <col min="11516" max="11516" width="3.6640625" style="256" customWidth="1"/>
    <col min="11517" max="11517" width="13.44140625" style="256" bestFit="1" customWidth="1"/>
    <col min="11518" max="11518" width="3.6640625" style="256" customWidth="1"/>
    <col min="11519" max="11519" width="12.88671875" style="256" bestFit="1" customWidth="1"/>
    <col min="11520" max="11520" width="3.6640625" style="256" customWidth="1"/>
    <col min="11521" max="11521" width="14.33203125" style="256" bestFit="1" customWidth="1"/>
    <col min="11522" max="11522" width="3.6640625" style="256" customWidth="1"/>
    <col min="11523" max="11523" width="15" style="256" bestFit="1" customWidth="1"/>
    <col min="11524" max="11524" width="3" style="256" customWidth="1"/>
    <col min="11525" max="11525" width="15.33203125" style="256" bestFit="1" customWidth="1"/>
    <col min="11526" max="11527" width="8.88671875" style="256"/>
    <col min="11528" max="11528" width="17.5546875" style="256" bestFit="1" customWidth="1"/>
    <col min="11529" max="11770" width="8.88671875" style="256"/>
    <col min="11771" max="11771" width="21.5546875" style="256" customWidth="1"/>
    <col min="11772" max="11772" width="3.6640625" style="256" customWidth="1"/>
    <col min="11773" max="11773" width="13.44140625" style="256" bestFit="1" customWidth="1"/>
    <col min="11774" max="11774" width="3.6640625" style="256" customWidth="1"/>
    <col min="11775" max="11775" width="12.88671875" style="256" bestFit="1" customWidth="1"/>
    <col min="11776" max="11776" width="3.6640625" style="256" customWidth="1"/>
    <col min="11777" max="11777" width="14.33203125" style="256" bestFit="1" customWidth="1"/>
    <col min="11778" max="11778" width="3.6640625" style="256" customWidth="1"/>
    <col min="11779" max="11779" width="15" style="256" bestFit="1" customWidth="1"/>
    <col min="11780" max="11780" width="3" style="256" customWidth="1"/>
    <col min="11781" max="11781" width="15.33203125" style="256" bestFit="1" customWidth="1"/>
    <col min="11782" max="11783" width="8.88671875" style="256"/>
    <col min="11784" max="11784" width="17.5546875" style="256" bestFit="1" customWidth="1"/>
    <col min="11785" max="12026" width="8.88671875" style="256"/>
    <col min="12027" max="12027" width="21.5546875" style="256" customWidth="1"/>
    <col min="12028" max="12028" width="3.6640625" style="256" customWidth="1"/>
    <col min="12029" max="12029" width="13.44140625" style="256" bestFit="1" customWidth="1"/>
    <col min="12030" max="12030" width="3.6640625" style="256" customWidth="1"/>
    <col min="12031" max="12031" width="12.88671875" style="256" bestFit="1" customWidth="1"/>
    <col min="12032" max="12032" width="3.6640625" style="256" customWidth="1"/>
    <col min="12033" max="12033" width="14.33203125" style="256" bestFit="1" customWidth="1"/>
    <col min="12034" max="12034" width="3.6640625" style="256" customWidth="1"/>
    <col min="12035" max="12035" width="15" style="256" bestFit="1" customWidth="1"/>
    <col min="12036" max="12036" width="3" style="256" customWidth="1"/>
    <col min="12037" max="12037" width="15.33203125" style="256" bestFit="1" customWidth="1"/>
    <col min="12038" max="12039" width="8.88671875" style="256"/>
    <col min="12040" max="12040" width="17.5546875" style="256" bestFit="1" customWidth="1"/>
    <col min="12041" max="12282" width="8.88671875" style="256"/>
    <col min="12283" max="12283" width="21.5546875" style="256" customWidth="1"/>
    <col min="12284" max="12284" width="3.6640625" style="256" customWidth="1"/>
    <col min="12285" max="12285" width="13.44140625" style="256" bestFit="1" customWidth="1"/>
    <col min="12286" max="12286" width="3.6640625" style="256" customWidth="1"/>
    <col min="12287" max="12287" width="12.88671875" style="256" bestFit="1" customWidth="1"/>
    <col min="12288" max="12288" width="3.6640625" style="256" customWidth="1"/>
    <col min="12289" max="12289" width="14.33203125" style="256" bestFit="1" customWidth="1"/>
    <col min="12290" max="12290" width="3.6640625" style="256" customWidth="1"/>
    <col min="12291" max="12291" width="15" style="256" bestFit="1" customWidth="1"/>
    <col min="12292" max="12292" width="3" style="256" customWidth="1"/>
    <col min="12293" max="12293" width="15.33203125" style="256" bestFit="1" customWidth="1"/>
    <col min="12294" max="12295" width="8.88671875" style="256"/>
    <col min="12296" max="12296" width="17.5546875" style="256" bestFit="1" customWidth="1"/>
    <col min="12297" max="12538" width="8.88671875" style="256"/>
    <col min="12539" max="12539" width="21.5546875" style="256" customWidth="1"/>
    <col min="12540" max="12540" width="3.6640625" style="256" customWidth="1"/>
    <col min="12541" max="12541" width="13.44140625" style="256" bestFit="1" customWidth="1"/>
    <col min="12542" max="12542" width="3.6640625" style="256" customWidth="1"/>
    <col min="12543" max="12543" width="12.88671875" style="256" bestFit="1" customWidth="1"/>
    <col min="12544" max="12544" width="3.6640625" style="256" customWidth="1"/>
    <col min="12545" max="12545" width="14.33203125" style="256" bestFit="1" customWidth="1"/>
    <col min="12546" max="12546" width="3.6640625" style="256" customWidth="1"/>
    <col min="12547" max="12547" width="15" style="256" bestFit="1" customWidth="1"/>
    <col min="12548" max="12548" width="3" style="256" customWidth="1"/>
    <col min="12549" max="12549" width="15.33203125" style="256" bestFit="1" customWidth="1"/>
    <col min="12550" max="12551" width="8.88671875" style="256"/>
    <col min="12552" max="12552" width="17.5546875" style="256" bestFit="1" customWidth="1"/>
    <col min="12553" max="12794" width="8.88671875" style="256"/>
    <col min="12795" max="12795" width="21.5546875" style="256" customWidth="1"/>
    <col min="12796" max="12796" width="3.6640625" style="256" customWidth="1"/>
    <col min="12797" max="12797" width="13.44140625" style="256" bestFit="1" customWidth="1"/>
    <col min="12798" max="12798" width="3.6640625" style="256" customWidth="1"/>
    <col min="12799" max="12799" width="12.88671875" style="256" bestFit="1" customWidth="1"/>
    <col min="12800" max="12800" width="3.6640625" style="256" customWidth="1"/>
    <col min="12801" max="12801" width="14.33203125" style="256" bestFit="1" customWidth="1"/>
    <col min="12802" max="12802" width="3.6640625" style="256" customWidth="1"/>
    <col min="12803" max="12803" width="15" style="256" bestFit="1" customWidth="1"/>
    <col min="12804" max="12804" width="3" style="256" customWidth="1"/>
    <col min="12805" max="12805" width="15.33203125" style="256" bestFit="1" customWidth="1"/>
    <col min="12806" max="12807" width="8.88671875" style="256"/>
    <col min="12808" max="12808" width="17.5546875" style="256" bestFit="1" customWidth="1"/>
    <col min="12809" max="13050" width="8.88671875" style="256"/>
    <col min="13051" max="13051" width="21.5546875" style="256" customWidth="1"/>
    <col min="13052" max="13052" width="3.6640625" style="256" customWidth="1"/>
    <col min="13053" max="13053" width="13.44140625" style="256" bestFit="1" customWidth="1"/>
    <col min="13054" max="13054" width="3.6640625" style="256" customWidth="1"/>
    <col min="13055" max="13055" width="12.88671875" style="256" bestFit="1" customWidth="1"/>
    <col min="13056" max="13056" width="3.6640625" style="256" customWidth="1"/>
    <col min="13057" max="13057" width="14.33203125" style="256" bestFit="1" customWidth="1"/>
    <col min="13058" max="13058" width="3.6640625" style="256" customWidth="1"/>
    <col min="13059" max="13059" width="15" style="256" bestFit="1" customWidth="1"/>
    <col min="13060" max="13060" width="3" style="256" customWidth="1"/>
    <col min="13061" max="13061" width="15.33203125" style="256" bestFit="1" customWidth="1"/>
    <col min="13062" max="13063" width="8.88671875" style="256"/>
    <col min="13064" max="13064" width="17.5546875" style="256" bestFit="1" customWidth="1"/>
    <col min="13065" max="13306" width="8.88671875" style="256"/>
    <col min="13307" max="13307" width="21.5546875" style="256" customWidth="1"/>
    <col min="13308" max="13308" width="3.6640625" style="256" customWidth="1"/>
    <col min="13309" max="13309" width="13.44140625" style="256" bestFit="1" customWidth="1"/>
    <col min="13310" max="13310" width="3.6640625" style="256" customWidth="1"/>
    <col min="13311" max="13311" width="12.88671875" style="256" bestFit="1" customWidth="1"/>
    <col min="13312" max="13312" width="3.6640625" style="256" customWidth="1"/>
    <col min="13313" max="13313" width="14.33203125" style="256" bestFit="1" customWidth="1"/>
    <col min="13314" max="13314" width="3.6640625" style="256" customWidth="1"/>
    <col min="13315" max="13315" width="15" style="256" bestFit="1" customWidth="1"/>
    <col min="13316" max="13316" width="3" style="256" customWidth="1"/>
    <col min="13317" max="13317" width="15.33203125" style="256" bestFit="1" customWidth="1"/>
    <col min="13318" max="13319" width="8.88671875" style="256"/>
    <col min="13320" max="13320" width="17.5546875" style="256" bestFit="1" customWidth="1"/>
    <col min="13321" max="13562" width="8.88671875" style="256"/>
    <col min="13563" max="13563" width="21.5546875" style="256" customWidth="1"/>
    <col min="13564" max="13564" width="3.6640625" style="256" customWidth="1"/>
    <col min="13565" max="13565" width="13.44140625" style="256" bestFit="1" customWidth="1"/>
    <col min="13566" max="13566" width="3.6640625" style="256" customWidth="1"/>
    <col min="13567" max="13567" width="12.88671875" style="256" bestFit="1" customWidth="1"/>
    <col min="13568" max="13568" width="3.6640625" style="256" customWidth="1"/>
    <col min="13569" max="13569" width="14.33203125" style="256" bestFit="1" customWidth="1"/>
    <col min="13570" max="13570" width="3.6640625" style="256" customWidth="1"/>
    <col min="13571" max="13571" width="15" style="256" bestFit="1" customWidth="1"/>
    <col min="13572" max="13572" width="3" style="256" customWidth="1"/>
    <col min="13573" max="13573" width="15.33203125" style="256" bestFit="1" customWidth="1"/>
    <col min="13574" max="13575" width="8.88671875" style="256"/>
    <col min="13576" max="13576" width="17.5546875" style="256" bestFit="1" customWidth="1"/>
    <col min="13577" max="13818" width="8.88671875" style="256"/>
    <col min="13819" max="13819" width="21.5546875" style="256" customWidth="1"/>
    <col min="13820" max="13820" width="3.6640625" style="256" customWidth="1"/>
    <col min="13821" max="13821" width="13.44140625" style="256" bestFit="1" customWidth="1"/>
    <col min="13822" max="13822" width="3.6640625" style="256" customWidth="1"/>
    <col min="13823" max="13823" width="12.88671875" style="256" bestFit="1" customWidth="1"/>
    <col min="13824" max="13824" width="3.6640625" style="256" customWidth="1"/>
    <col min="13825" max="13825" width="14.33203125" style="256" bestFit="1" customWidth="1"/>
    <col min="13826" max="13826" width="3.6640625" style="256" customWidth="1"/>
    <col min="13827" max="13827" width="15" style="256" bestFit="1" customWidth="1"/>
    <col min="13828" max="13828" width="3" style="256" customWidth="1"/>
    <col min="13829" max="13829" width="15.33203125" style="256" bestFit="1" customWidth="1"/>
    <col min="13830" max="13831" width="8.88671875" style="256"/>
    <col min="13832" max="13832" width="17.5546875" style="256" bestFit="1" customWidth="1"/>
    <col min="13833" max="14074" width="8.88671875" style="256"/>
    <col min="14075" max="14075" width="21.5546875" style="256" customWidth="1"/>
    <col min="14076" max="14076" width="3.6640625" style="256" customWidth="1"/>
    <col min="14077" max="14077" width="13.44140625" style="256" bestFit="1" customWidth="1"/>
    <col min="14078" max="14078" width="3.6640625" style="256" customWidth="1"/>
    <col min="14079" max="14079" width="12.88671875" style="256" bestFit="1" customWidth="1"/>
    <col min="14080" max="14080" width="3.6640625" style="256" customWidth="1"/>
    <col min="14081" max="14081" width="14.33203125" style="256" bestFit="1" customWidth="1"/>
    <col min="14082" max="14082" width="3.6640625" style="256" customWidth="1"/>
    <col min="14083" max="14083" width="15" style="256" bestFit="1" customWidth="1"/>
    <col min="14084" max="14084" width="3" style="256" customWidth="1"/>
    <col min="14085" max="14085" width="15.33203125" style="256" bestFit="1" customWidth="1"/>
    <col min="14086" max="14087" width="8.88671875" style="256"/>
    <col min="14088" max="14088" width="17.5546875" style="256" bestFit="1" customWidth="1"/>
    <col min="14089" max="14330" width="8.88671875" style="256"/>
    <col min="14331" max="14331" width="21.5546875" style="256" customWidth="1"/>
    <col min="14332" max="14332" width="3.6640625" style="256" customWidth="1"/>
    <col min="14333" max="14333" width="13.44140625" style="256" bestFit="1" customWidth="1"/>
    <col min="14334" max="14334" width="3.6640625" style="256" customWidth="1"/>
    <col min="14335" max="14335" width="12.88671875" style="256" bestFit="1" customWidth="1"/>
    <col min="14336" max="14336" width="3.6640625" style="256" customWidth="1"/>
    <col min="14337" max="14337" width="14.33203125" style="256" bestFit="1" customWidth="1"/>
    <col min="14338" max="14338" width="3.6640625" style="256" customWidth="1"/>
    <col min="14339" max="14339" width="15" style="256" bestFit="1" customWidth="1"/>
    <col min="14340" max="14340" width="3" style="256" customWidth="1"/>
    <col min="14341" max="14341" width="15.33203125" style="256" bestFit="1" customWidth="1"/>
    <col min="14342" max="14343" width="8.88671875" style="256"/>
    <col min="14344" max="14344" width="17.5546875" style="256" bestFit="1" customWidth="1"/>
    <col min="14345" max="14586" width="8.88671875" style="256"/>
    <col min="14587" max="14587" width="21.5546875" style="256" customWidth="1"/>
    <col min="14588" max="14588" width="3.6640625" style="256" customWidth="1"/>
    <col min="14589" max="14589" width="13.44140625" style="256" bestFit="1" customWidth="1"/>
    <col min="14590" max="14590" width="3.6640625" style="256" customWidth="1"/>
    <col min="14591" max="14591" width="12.88671875" style="256" bestFit="1" customWidth="1"/>
    <col min="14592" max="14592" width="3.6640625" style="256" customWidth="1"/>
    <col min="14593" max="14593" width="14.33203125" style="256" bestFit="1" customWidth="1"/>
    <col min="14594" max="14594" width="3.6640625" style="256" customWidth="1"/>
    <col min="14595" max="14595" width="15" style="256" bestFit="1" customWidth="1"/>
    <col min="14596" max="14596" width="3" style="256" customWidth="1"/>
    <col min="14597" max="14597" width="15.33203125" style="256" bestFit="1" customWidth="1"/>
    <col min="14598" max="14599" width="8.88671875" style="256"/>
    <col min="14600" max="14600" width="17.5546875" style="256" bestFit="1" customWidth="1"/>
    <col min="14601" max="14842" width="8.88671875" style="256"/>
    <col min="14843" max="14843" width="21.5546875" style="256" customWidth="1"/>
    <col min="14844" max="14844" width="3.6640625" style="256" customWidth="1"/>
    <col min="14845" max="14845" width="13.44140625" style="256" bestFit="1" customWidth="1"/>
    <col min="14846" max="14846" width="3.6640625" style="256" customWidth="1"/>
    <col min="14847" max="14847" width="12.88671875" style="256" bestFit="1" customWidth="1"/>
    <col min="14848" max="14848" width="3.6640625" style="256" customWidth="1"/>
    <col min="14849" max="14849" width="14.33203125" style="256" bestFit="1" customWidth="1"/>
    <col min="14850" max="14850" width="3.6640625" style="256" customWidth="1"/>
    <col min="14851" max="14851" width="15" style="256" bestFit="1" customWidth="1"/>
    <col min="14852" max="14852" width="3" style="256" customWidth="1"/>
    <col min="14853" max="14853" width="15.33203125" style="256" bestFit="1" customWidth="1"/>
    <col min="14854" max="14855" width="8.88671875" style="256"/>
    <col min="14856" max="14856" width="17.5546875" style="256" bestFit="1" customWidth="1"/>
    <col min="14857" max="15098" width="8.88671875" style="256"/>
    <col min="15099" max="15099" width="21.5546875" style="256" customWidth="1"/>
    <col min="15100" max="15100" width="3.6640625" style="256" customWidth="1"/>
    <col min="15101" max="15101" width="13.44140625" style="256" bestFit="1" customWidth="1"/>
    <col min="15102" max="15102" width="3.6640625" style="256" customWidth="1"/>
    <col min="15103" max="15103" width="12.88671875" style="256" bestFit="1" customWidth="1"/>
    <col min="15104" max="15104" width="3.6640625" style="256" customWidth="1"/>
    <col min="15105" max="15105" width="14.33203125" style="256" bestFit="1" customWidth="1"/>
    <col min="15106" max="15106" width="3.6640625" style="256" customWidth="1"/>
    <col min="15107" max="15107" width="15" style="256" bestFit="1" customWidth="1"/>
    <col min="15108" max="15108" width="3" style="256" customWidth="1"/>
    <col min="15109" max="15109" width="15.33203125" style="256" bestFit="1" customWidth="1"/>
    <col min="15110" max="15111" width="8.88671875" style="256"/>
    <col min="15112" max="15112" width="17.5546875" style="256" bestFit="1" customWidth="1"/>
    <col min="15113" max="15354" width="8.88671875" style="256"/>
    <col min="15355" max="15355" width="21.5546875" style="256" customWidth="1"/>
    <col min="15356" max="15356" width="3.6640625" style="256" customWidth="1"/>
    <col min="15357" max="15357" width="13.44140625" style="256" bestFit="1" customWidth="1"/>
    <col min="15358" max="15358" width="3.6640625" style="256" customWidth="1"/>
    <col min="15359" max="15359" width="12.88671875" style="256" bestFit="1" customWidth="1"/>
    <col min="15360" max="15360" width="3.6640625" style="256" customWidth="1"/>
    <col min="15361" max="15361" width="14.33203125" style="256" bestFit="1" customWidth="1"/>
    <col min="15362" max="15362" width="3.6640625" style="256" customWidth="1"/>
    <col min="15363" max="15363" width="15" style="256" bestFit="1" customWidth="1"/>
    <col min="15364" max="15364" width="3" style="256" customWidth="1"/>
    <col min="15365" max="15365" width="15.33203125" style="256" bestFit="1" customWidth="1"/>
    <col min="15366" max="15367" width="8.88671875" style="256"/>
    <col min="15368" max="15368" width="17.5546875" style="256" bestFit="1" customWidth="1"/>
    <col min="15369" max="15610" width="8.88671875" style="256"/>
    <col min="15611" max="15611" width="21.5546875" style="256" customWidth="1"/>
    <col min="15612" max="15612" width="3.6640625" style="256" customWidth="1"/>
    <col min="15613" max="15613" width="13.44140625" style="256" bestFit="1" customWidth="1"/>
    <col min="15614" max="15614" width="3.6640625" style="256" customWidth="1"/>
    <col min="15615" max="15615" width="12.88671875" style="256" bestFit="1" customWidth="1"/>
    <col min="15616" max="15616" width="3.6640625" style="256" customWidth="1"/>
    <col min="15617" max="15617" width="14.33203125" style="256" bestFit="1" customWidth="1"/>
    <col min="15618" max="15618" width="3.6640625" style="256" customWidth="1"/>
    <col min="15619" max="15619" width="15" style="256" bestFit="1" customWidth="1"/>
    <col min="15620" max="15620" width="3" style="256" customWidth="1"/>
    <col min="15621" max="15621" width="15.33203125" style="256" bestFit="1" customWidth="1"/>
    <col min="15622" max="15623" width="8.88671875" style="256"/>
    <col min="15624" max="15624" width="17.5546875" style="256" bestFit="1" customWidth="1"/>
    <col min="15625" max="15866" width="8.88671875" style="256"/>
    <col min="15867" max="15867" width="21.5546875" style="256" customWidth="1"/>
    <col min="15868" max="15868" width="3.6640625" style="256" customWidth="1"/>
    <col min="15869" max="15869" width="13.44140625" style="256" bestFit="1" customWidth="1"/>
    <col min="15870" max="15870" width="3.6640625" style="256" customWidth="1"/>
    <col min="15871" max="15871" width="12.88671875" style="256" bestFit="1" customWidth="1"/>
    <col min="15872" max="15872" width="3.6640625" style="256" customWidth="1"/>
    <col min="15873" max="15873" width="14.33203125" style="256" bestFit="1" customWidth="1"/>
    <col min="15874" max="15874" width="3.6640625" style="256" customWidth="1"/>
    <col min="15875" max="15875" width="15" style="256" bestFit="1" customWidth="1"/>
    <col min="15876" max="15876" width="3" style="256" customWidth="1"/>
    <col min="15877" max="15877" width="15.33203125" style="256" bestFit="1" customWidth="1"/>
    <col min="15878" max="15879" width="8.88671875" style="256"/>
    <col min="15880" max="15880" width="17.5546875" style="256" bestFit="1" customWidth="1"/>
    <col min="15881" max="16122" width="8.88671875" style="256"/>
    <col min="16123" max="16123" width="21.5546875" style="256" customWidth="1"/>
    <col min="16124" max="16124" width="3.6640625" style="256" customWidth="1"/>
    <col min="16125" max="16125" width="13.44140625" style="256" bestFit="1" customWidth="1"/>
    <col min="16126" max="16126" width="3.6640625" style="256" customWidth="1"/>
    <col min="16127" max="16127" width="12.88671875" style="256" bestFit="1" customWidth="1"/>
    <col min="16128" max="16128" width="3.6640625" style="256" customWidth="1"/>
    <col min="16129" max="16129" width="14.33203125" style="256" bestFit="1" customWidth="1"/>
    <col min="16130" max="16130" width="3.6640625" style="256" customWidth="1"/>
    <col min="16131" max="16131" width="15" style="256" bestFit="1" customWidth="1"/>
    <col min="16132" max="16132" width="3" style="256" customWidth="1"/>
    <col min="16133" max="16133" width="15.33203125" style="256" bestFit="1" customWidth="1"/>
    <col min="16134" max="16135" width="8.88671875" style="256"/>
    <col min="16136" max="16136" width="17.5546875" style="256" bestFit="1" customWidth="1"/>
    <col min="16137" max="16384" width="8.88671875" style="256"/>
  </cols>
  <sheetData>
    <row r="1" spans="1:9" s="255" customFormat="1" ht="13.2">
      <c r="A1" s="244"/>
      <c r="B1" s="244"/>
      <c r="C1" s="244"/>
      <c r="D1" s="244"/>
      <c r="E1" s="244"/>
      <c r="F1" s="244"/>
      <c r="G1" s="244"/>
      <c r="H1" s="254"/>
    </row>
    <row r="2" spans="1:9" ht="7.95" customHeight="1"/>
    <row r="3" spans="1:9">
      <c r="A3" s="512" t="s">
        <v>0</v>
      </c>
      <c r="B3" s="513"/>
      <c r="C3" s="513"/>
      <c r="D3" s="513"/>
      <c r="E3" s="513"/>
      <c r="F3" s="513"/>
      <c r="G3" s="513"/>
      <c r="H3" s="513"/>
      <c r="I3" s="120"/>
    </row>
    <row r="4" spans="1:9">
      <c r="A4" s="513" t="s">
        <v>281</v>
      </c>
      <c r="B4" s="513"/>
      <c r="C4" s="513"/>
      <c r="D4" s="513"/>
      <c r="E4" s="513"/>
      <c r="F4" s="513"/>
      <c r="G4" s="513"/>
      <c r="H4" s="513"/>
      <c r="I4" s="120"/>
    </row>
    <row r="5" spans="1:9">
      <c r="A5" s="514" t="s">
        <v>189</v>
      </c>
      <c r="B5" s="514"/>
      <c r="C5" s="514"/>
      <c r="D5" s="514"/>
      <c r="E5" s="514"/>
      <c r="F5" s="514"/>
      <c r="G5" s="514"/>
      <c r="H5" s="514"/>
    </row>
    <row r="6" spans="1:9">
      <c r="A6" s="512" t="s">
        <v>614</v>
      </c>
      <c r="B6" s="512"/>
      <c r="C6" s="512"/>
      <c r="D6" s="512"/>
      <c r="E6" s="512"/>
      <c r="F6" s="512"/>
      <c r="G6" s="512"/>
      <c r="H6" s="512"/>
      <c r="I6" s="120"/>
    </row>
    <row r="7" spans="1:9" ht="3.9" customHeight="1">
      <c r="A7" s="257"/>
      <c r="B7" s="257"/>
      <c r="C7" s="257"/>
    </row>
    <row r="8" spans="1:9" ht="5.4" customHeight="1">
      <c r="A8" s="258"/>
      <c r="B8" s="258"/>
      <c r="C8" s="258"/>
    </row>
    <row r="9" spans="1:9">
      <c r="A9" s="514" t="s">
        <v>624</v>
      </c>
      <c r="B9" s="514"/>
      <c r="C9" s="514"/>
      <c r="D9" s="514"/>
      <c r="E9" s="514"/>
      <c r="F9" s="514"/>
      <c r="G9" s="514"/>
      <c r="H9" s="514"/>
    </row>
    <row r="10" spans="1:9" ht="7.95" customHeight="1"/>
    <row r="11" spans="1:9">
      <c r="A11" s="510"/>
      <c r="B11" s="510"/>
      <c r="C11" s="510"/>
      <c r="D11" s="510"/>
      <c r="E11" s="510"/>
      <c r="F11" s="510"/>
      <c r="G11" s="510"/>
      <c r="H11" s="510"/>
    </row>
    <row r="12" spans="1:9">
      <c r="D12" s="246"/>
      <c r="E12" s="246"/>
      <c r="F12" s="246"/>
      <c r="G12" s="246"/>
    </row>
    <row r="13" spans="1:9" ht="14.4" thickBot="1">
      <c r="A13" s="259"/>
      <c r="B13" s="511" t="s">
        <v>613</v>
      </c>
      <c r="C13" s="511"/>
      <c r="D13" s="511"/>
      <c r="E13" s="248"/>
      <c r="F13" s="247" t="s">
        <v>613</v>
      </c>
      <c r="G13" s="247"/>
      <c r="H13" s="248"/>
    </row>
    <row r="14" spans="1:9">
      <c r="A14" s="259"/>
      <c r="B14" s="259" t="s">
        <v>187</v>
      </c>
      <c r="C14" s="259" t="s">
        <v>187</v>
      </c>
      <c r="D14" s="248" t="s">
        <v>56</v>
      </c>
      <c r="E14" s="247"/>
      <c r="F14" s="248" t="s">
        <v>187</v>
      </c>
      <c r="G14" s="248"/>
      <c r="H14" s="248"/>
    </row>
    <row r="15" spans="1:9">
      <c r="A15" s="259"/>
      <c r="B15" s="259" t="s">
        <v>190</v>
      </c>
      <c r="C15" s="259" t="s">
        <v>191</v>
      </c>
      <c r="D15" s="248" t="s">
        <v>187</v>
      </c>
      <c r="E15" s="248"/>
      <c r="F15" s="248" t="s">
        <v>192</v>
      </c>
      <c r="G15" s="248"/>
      <c r="H15" s="248"/>
    </row>
    <row r="16" spans="1:9">
      <c r="A16" s="259" t="s">
        <v>90</v>
      </c>
      <c r="B16" s="248" t="s">
        <v>193</v>
      </c>
      <c r="C16" s="248" t="s">
        <v>193</v>
      </c>
      <c r="D16" s="248" t="s">
        <v>193</v>
      </c>
      <c r="E16" s="248"/>
      <c r="F16" s="248" t="s">
        <v>194</v>
      </c>
      <c r="G16" s="248"/>
      <c r="H16" s="248" t="s">
        <v>195</v>
      </c>
    </row>
    <row r="17" spans="1:8" ht="14.4">
      <c r="A17" s="260" t="s">
        <v>628</v>
      </c>
      <c r="B17" s="250"/>
      <c r="C17" s="250">
        <v>246.14000000000001</v>
      </c>
      <c r="D17" s="250">
        <f>+B17+C17</f>
        <v>246.14000000000001</v>
      </c>
      <c r="E17" s="249"/>
      <c r="F17" s="249"/>
      <c r="G17" s="249"/>
      <c r="H17" s="250">
        <f>-D17-F17</f>
        <v>-246.14000000000001</v>
      </c>
    </row>
    <row r="18" spans="1:8" ht="14.4">
      <c r="A18" s="260" t="s">
        <v>629</v>
      </c>
      <c r="B18" s="250"/>
      <c r="C18" s="250">
        <v>14.07</v>
      </c>
      <c r="D18" s="250">
        <f t="shared" ref="D18:D49" si="0">+B18+C18</f>
        <v>14.07</v>
      </c>
      <c r="E18" s="249"/>
      <c r="F18" s="249"/>
      <c r="G18" s="249"/>
      <c r="H18" s="250">
        <f t="shared" ref="H18:H49" si="1">-D18-F18</f>
        <v>-14.07</v>
      </c>
    </row>
    <row r="19" spans="1:8" ht="14.4">
      <c r="A19" s="260" t="s">
        <v>630</v>
      </c>
      <c r="B19" s="250"/>
      <c r="C19" s="250">
        <v>35.15</v>
      </c>
      <c r="D19" s="250">
        <f t="shared" si="0"/>
        <v>35.15</v>
      </c>
      <c r="E19" s="249"/>
      <c r="F19" s="249"/>
      <c r="G19" s="249"/>
      <c r="H19" s="250">
        <f t="shared" si="1"/>
        <v>-35.15</v>
      </c>
    </row>
    <row r="20" spans="1:8" ht="14.4">
      <c r="A20" s="260" t="s">
        <v>631</v>
      </c>
      <c r="B20" s="250"/>
      <c r="C20" s="250">
        <v>7.0200000000000005</v>
      </c>
      <c r="D20" s="250">
        <f t="shared" si="0"/>
        <v>7.0200000000000005</v>
      </c>
      <c r="E20" s="249"/>
      <c r="F20" s="249"/>
      <c r="G20" s="249"/>
      <c r="H20" s="250">
        <f t="shared" si="1"/>
        <v>-7.0200000000000005</v>
      </c>
    </row>
    <row r="21" spans="1:8" ht="14.4">
      <c r="A21" s="260" t="s">
        <v>196</v>
      </c>
      <c r="B21" s="250">
        <v>349012.56000000006</v>
      </c>
      <c r="C21" s="250"/>
      <c r="D21" s="250">
        <f t="shared" si="0"/>
        <v>349012.56000000006</v>
      </c>
      <c r="E21" s="249"/>
      <c r="F21" s="250">
        <v>-348595.77999999997</v>
      </c>
      <c r="G21" s="249"/>
      <c r="H21" s="250">
        <f t="shared" si="1"/>
        <v>-416.78000000008615</v>
      </c>
    </row>
    <row r="22" spans="1:8" ht="14.4">
      <c r="A22" s="260" t="s">
        <v>649</v>
      </c>
      <c r="B22" s="250">
        <v>226675.56999999992</v>
      </c>
      <c r="C22" s="250"/>
      <c r="D22" s="250">
        <f t="shared" si="0"/>
        <v>226675.56999999992</v>
      </c>
      <c r="E22" s="249"/>
      <c r="F22" s="250">
        <v>-206332.69000000003</v>
      </c>
      <c r="G22" s="249"/>
      <c r="H22" s="250">
        <f t="shared" si="1"/>
        <v>-20342.879999999888</v>
      </c>
    </row>
    <row r="23" spans="1:8" ht="14.4">
      <c r="A23" s="260" t="s">
        <v>650</v>
      </c>
      <c r="B23" s="250">
        <v>157002.82999999996</v>
      </c>
      <c r="C23" s="250">
        <v>842229.91999999923</v>
      </c>
      <c r="D23" s="250">
        <f t="shared" si="0"/>
        <v>999232.74999999919</v>
      </c>
      <c r="E23" s="249"/>
      <c r="F23" s="250">
        <v>-976275.08999999985</v>
      </c>
      <c r="G23" s="249"/>
      <c r="H23" s="250">
        <f t="shared" si="1"/>
        <v>-22957.659999999334</v>
      </c>
    </row>
    <row r="24" spans="1:8" ht="14.4">
      <c r="A24" s="260" t="s">
        <v>153</v>
      </c>
      <c r="B24" s="250"/>
      <c r="C24" s="250"/>
      <c r="D24" s="250">
        <f t="shared" si="0"/>
        <v>0</v>
      </c>
      <c r="E24" s="249"/>
      <c r="F24" s="250"/>
      <c r="G24" s="249"/>
      <c r="H24" s="250">
        <f t="shared" si="1"/>
        <v>0</v>
      </c>
    </row>
    <row r="25" spans="1:8" ht="14.4">
      <c r="A25" s="260" t="s">
        <v>651</v>
      </c>
      <c r="B25" s="250"/>
      <c r="C25" s="250"/>
      <c r="D25" s="250">
        <f t="shared" si="0"/>
        <v>0</v>
      </c>
      <c r="E25" s="249"/>
      <c r="F25" s="250"/>
      <c r="G25" s="249"/>
      <c r="H25" s="250">
        <f t="shared" si="1"/>
        <v>0</v>
      </c>
    </row>
    <row r="26" spans="1:8" ht="14.4">
      <c r="A26" s="260" t="s">
        <v>633</v>
      </c>
      <c r="B26" s="250">
        <v>465.45</v>
      </c>
      <c r="C26" s="250">
        <v>1070.5999999999999</v>
      </c>
      <c r="D26" s="250">
        <f t="shared" si="0"/>
        <v>1536.05</v>
      </c>
      <c r="E26" s="249"/>
      <c r="F26" s="250">
        <v>-1507.12</v>
      </c>
      <c r="G26" s="249"/>
      <c r="H26" s="250">
        <f t="shared" si="1"/>
        <v>-28.930000000000064</v>
      </c>
    </row>
    <row r="27" spans="1:8" ht="14.4">
      <c r="A27" s="260" t="s">
        <v>652</v>
      </c>
      <c r="B27" s="250"/>
      <c r="C27" s="250"/>
      <c r="D27" s="250">
        <f t="shared" si="0"/>
        <v>0</v>
      </c>
      <c r="E27" s="249"/>
      <c r="F27" s="250"/>
      <c r="G27" s="249"/>
      <c r="H27" s="250">
        <f t="shared" si="1"/>
        <v>0</v>
      </c>
    </row>
    <row r="28" spans="1:8" ht="14.4">
      <c r="A28" s="260" t="s">
        <v>653</v>
      </c>
      <c r="B28" s="250">
        <v>623.96999999999991</v>
      </c>
      <c r="C28" s="250">
        <v>4266.2299999999996</v>
      </c>
      <c r="D28" s="250">
        <f t="shared" si="0"/>
        <v>4890.2</v>
      </c>
      <c r="E28" s="249"/>
      <c r="F28" s="250">
        <v>-4776.6499999999996</v>
      </c>
      <c r="G28" s="249"/>
      <c r="H28" s="250">
        <f t="shared" si="1"/>
        <v>-113.55000000000018</v>
      </c>
    </row>
    <row r="29" spans="1:8" ht="14.4">
      <c r="A29" s="260" t="s">
        <v>654</v>
      </c>
      <c r="B29" s="250">
        <v>735654.01000000071</v>
      </c>
      <c r="C29" s="250">
        <v>836035.43000000017</v>
      </c>
      <c r="D29" s="250">
        <f t="shared" si="0"/>
        <v>1571689.4400000009</v>
      </c>
      <c r="E29" s="249"/>
      <c r="F29" s="250">
        <v>-1558124.5200000003</v>
      </c>
      <c r="G29" s="249"/>
      <c r="H29" s="250">
        <f t="shared" si="1"/>
        <v>-13564.920000000624</v>
      </c>
    </row>
    <row r="30" spans="1:8" ht="14.4">
      <c r="A30" s="260" t="s">
        <v>655</v>
      </c>
      <c r="B30" s="250">
        <v>-47.820000000000007</v>
      </c>
      <c r="C30" s="250">
        <v>-249.83999999999997</v>
      </c>
      <c r="D30" s="250">
        <f t="shared" si="0"/>
        <v>-297.65999999999997</v>
      </c>
      <c r="E30" s="249"/>
      <c r="F30" s="367">
        <v>297.67</v>
      </c>
      <c r="G30" s="249"/>
      <c r="H30" s="299">
        <f t="shared" si="1"/>
        <v>-1.0000000000047748E-2</v>
      </c>
    </row>
    <row r="31" spans="1:8" ht="14.4">
      <c r="A31" s="260" t="s">
        <v>656</v>
      </c>
      <c r="B31" s="250">
        <v>29.18</v>
      </c>
      <c r="C31" s="250">
        <v>-36.480000000000011</v>
      </c>
      <c r="D31" s="250">
        <f t="shared" si="0"/>
        <v>-7.3000000000000114</v>
      </c>
      <c r="E31" s="249"/>
      <c r="F31" s="367">
        <v>7.2699999999999969</v>
      </c>
      <c r="G31" s="249"/>
      <c r="H31" s="299">
        <f t="shared" si="1"/>
        <v>3.000000000001446E-2</v>
      </c>
    </row>
    <row r="32" spans="1:8" ht="14.4">
      <c r="A32" s="260" t="s">
        <v>657</v>
      </c>
      <c r="B32" s="250">
        <v>1116.58</v>
      </c>
      <c r="C32" s="250">
        <v>6524.6699999999992</v>
      </c>
      <c r="D32" s="250">
        <f t="shared" si="0"/>
        <v>7641.2499999999991</v>
      </c>
      <c r="E32" s="249"/>
      <c r="F32" s="250">
        <v>-7478.85</v>
      </c>
      <c r="G32" s="249"/>
      <c r="H32" s="250">
        <f t="shared" si="1"/>
        <v>-162.39999999999873</v>
      </c>
    </row>
    <row r="33" spans="1:8" ht="14.4">
      <c r="A33" s="260" t="s">
        <v>658</v>
      </c>
      <c r="B33" s="250">
        <v>4265717.34</v>
      </c>
      <c r="C33" s="250">
        <v>152106.02999999994</v>
      </c>
      <c r="D33" s="250">
        <f t="shared" si="0"/>
        <v>4417823.37</v>
      </c>
      <c r="E33" s="249"/>
      <c r="F33" s="250">
        <v>-4413725.74</v>
      </c>
      <c r="G33" s="249"/>
      <c r="H33" s="250">
        <f t="shared" si="1"/>
        <v>-4097.6299999998882</v>
      </c>
    </row>
    <row r="34" spans="1:8" ht="14.4">
      <c r="A34" s="261">
        <v>568000</v>
      </c>
      <c r="B34" s="250"/>
      <c r="C34" s="250"/>
      <c r="D34" s="250"/>
      <c r="E34" s="249"/>
      <c r="F34" s="250"/>
      <c r="G34" s="249"/>
      <c r="H34" s="250">
        <f t="shared" si="1"/>
        <v>0</v>
      </c>
    </row>
    <row r="35" spans="1:8" ht="14.4">
      <c r="A35" s="260" t="s">
        <v>659</v>
      </c>
      <c r="B35" s="250">
        <v>-53.58</v>
      </c>
      <c r="C35" s="250">
        <v>-488.07000000000005</v>
      </c>
      <c r="D35" s="250">
        <f t="shared" si="0"/>
        <v>-541.65000000000009</v>
      </c>
      <c r="E35" s="249"/>
      <c r="F35" s="250">
        <v>541.6400000000001</v>
      </c>
      <c r="G35" s="249"/>
      <c r="H35" s="250">
        <f t="shared" si="1"/>
        <v>9.9999999999909051E-3</v>
      </c>
    </row>
    <row r="36" spans="1:8" ht="14.4">
      <c r="A36" s="260" t="s">
        <v>632</v>
      </c>
      <c r="B36" s="250">
        <v>-2.7800000000000011</v>
      </c>
      <c r="C36" s="250">
        <v>-8.8817841970012523E-15</v>
      </c>
      <c r="D36" s="250">
        <f t="shared" si="0"/>
        <v>-2.78000000000001</v>
      </c>
      <c r="E36" s="249"/>
      <c r="F36" s="250">
        <v>2.7800000000000296</v>
      </c>
      <c r="G36" s="249"/>
      <c r="H36" s="250">
        <f t="shared" si="1"/>
        <v>-1.9539925233402755E-14</v>
      </c>
    </row>
    <row r="37" spans="1:8" ht="14.4">
      <c r="A37" s="260" t="s">
        <v>625</v>
      </c>
      <c r="B37" s="250">
        <v>6.3100000000000005</v>
      </c>
      <c r="C37" s="250">
        <v>41.66</v>
      </c>
      <c r="D37" s="250">
        <f t="shared" si="0"/>
        <v>47.97</v>
      </c>
      <c r="E37" s="249"/>
      <c r="F37" s="250">
        <v>-47.5</v>
      </c>
      <c r="G37" s="249"/>
      <c r="H37" s="250">
        <f t="shared" si="1"/>
        <v>-0.46999999999999886</v>
      </c>
    </row>
    <row r="38" spans="1:8" ht="14.4">
      <c r="A38" s="260" t="s">
        <v>660</v>
      </c>
      <c r="B38" s="250"/>
      <c r="C38" s="250"/>
      <c r="D38" s="250">
        <f t="shared" si="0"/>
        <v>0</v>
      </c>
      <c r="E38" s="249"/>
      <c r="F38" s="250"/>
      <c r="G38" s="249"/>
      <c r="H38" s="250">
        <f t="shared" si="1"/>
        <v>0</v>
      </c>
    </row>
    <row r="39" spans="1:8" ht="14.4">
      <c r="A39" s="260" t="s">
        <v>661</v>
      </c>
      <c r="B39" s="250">
        <v>169731.99999999997</v>
      </c>
      <c r="C39" s="250">
        <v>1617608.6400000008</v>
      </c>
      <c r="D39" s="250">
        <f t="shared" si="0"/>
        <v>1787340.6400000008</v>
      </c>
      <c r="E39" s="249"/>
      <c r="F39" s="250">
        <v>-1567556.7100000004</v>
      </c>
      <c r="G39" s="249"/>
      <c r="H39" s="250">
        <f t="shared" si="1"/>
        <v>-219783.9300000004</v>
      </c>
    </row>
    <row r="40" spans="1:8" ht="14.4">
      <c r="A40" s="260" t="s">
        <v>662</v>
      </c>
      <c r="B40" s="250">
        <v>237082.97999999969</v>
      </c>
      <c r="C40" s="250"/>
      <c r="D40" s="250">
        <f t="shared" si="0"/>
        <v>237082.97999999969</v>
      </c>
      <c r="E40" s="249"/>
      <c r="F40" s="250">
        <v>-237109.09</v>
      </c>
      <c r="G40" s="249"/>
      <c r="H40" s="250">
        <f t="shared" si="1"/>
        <v>26.110000000306172</v>
      </c>
    </row>
    <row r="41" spans="1:8" ht="14.4">
      <c r="A41" s="260" t="s">
        <v>154</v>
      </c>
      <c r="B41" s="250">
        <v>7942803.9099999983</v>
      </c>
      <c r="C41" s="250"/>
      <c r="D41" s="250">
        <f t="shared" si="0"/>
        <v>7942803.9099999983</v>
      </c>
      <c r="E41" s="249"/>
      <c r="F41" s="250">
        <v>-7943222.9299999997</v>
      </c>
      <c r="G41" s="249"/>
      <c r="H41" s="250">
        <f t="shared" si="1"/>
        <v>419.02000000141561</v>
      </c>
    </row>
    <row r="42" spans="1:8" ht="14.4">
      <c r="A42" s="261">
        <v>924000</v>
      </c>
      <c r="B42" s="250"/>
      <c r="C42" s="250"/>
      <c r="D42" s="250"/>
      <c r="E42" s="249"/>
      <c r="F42" s="250"/>
      <c r="G42" s="249"/>
      <c r="H42" s="250">
        <f t="shared" si="1"/>
        <v>0</v>
      </c>
    </row>
    <row r="43" spans="1:8" ht="14.4">
      <c r="A43" s="260" t="s">
        <v>627</v>
      </c>
      <c r="B43" s="250">
        <v>96.24</v>
      </c>
      <c r="C43" s="250"/>
      <c r="D43" s="250">
        <f t="shared" si="0"/>
        <v>96.24</v>
      </c>
      <c r="E43" s="249"/>
      <c r="F43" s="250">
        <v>-96.23</v>
      </c>
      <c r="G43" s="249"/>
      <c r="H43" s="250">
        <f t="shared" si="1"/>
        <v>-9.9999999999909051E-3</v>
      </c>
    </row>
    <row r="44" spans="1:8" ht="14.4">
      <c r="A44" s="260" t="s">
        <v>663</v>
      </c>
      <c r="B44" s="250">
        <v>1824067.3399999989</v>
      </c>
      <c r="C44" s="250">
        <v>-2516.0799999999995</v>
      </c>
      <c r="D44" s="250">
        <f t="shared" si="0"/>
        <v>1821551.2599999988</v>
      </c>
      <c r="E44" s="249"/>
      <c r="F44" s="250">
        <v>-1272228.44</v>
      </c>
      <c r="G44" s="249"/>
      <c r="H44" s="250">
        <f t="shared" si="1"/>
        <v>-549322.8199999989</v>
      </c>
    </row>
    <row r="45" spans="1:8" ht="14.4">
      <c r="A45" s="260" t="s">
        <v>664</v>
      </c>
      <c r="B45" s="250">
        <v>31.35</v>
      </c>
      <c r="C45" s="250">
        <v>28.13999999999994</v>
      </c>
      <c r="D45" s="250">
        <f t="shared" si="0"/>
        <v>59.489999999999938</v>
      </c>
      <c r="E45" s="249"/>
      <c r="F45" s="250">
        <v>-96.210000000000008</v>
      </c>
      <c r="G45" s="249"/>
      <c r="H45" s="299">
        <f t="shared" si="1"/>
        <v>36.72000000000007</v>
      </c>
    </row>
    <row r="46" spans="1:8" ht="14.4">
      <c r="A46" s="260" t="s">
        <v>665</v>
      </c>
      <c r="B46" s="250"/>
      <c r="C46" s="250"/>
      <c r="D46" s="250">
        <f t="shared" si="0"/>
        <v>0</v>
      </c>
      <c r="E46" s="249"/>
      <c r="F46" s="250">
        <v>9.9999999999997868E-3</v>
      </c>
      <c r="G46" s="249"/>
      <c r="H46" s="299">
        <f t="shared" si="1"/>
        <v>-9.9999999999997868E-3</v>
      </c>
    </row>
    <row r="47" spans="1:8" ht="14.4">
      <c r="A47" s="260" t="s">
        <v>666</v>
      </c>
      <c r="B47" s="250">
        <v>92501.02</v>
      </c>
      <c r="C47" s="250"/>
      <c r="D47" s="250">
        <f t="shared" si="0"/>
        <v>92501.02</v>
      </c>
      <c r="E47" s="249"/>
      <c r="F47" s="250">
        <v>-92501.02</v>
      </c>
      <c r="G47" s="249"/>
      <c r="H47" s="250">
        <f t="shared" si="1"/>
        <v>0</v>
      </c>
    </row>
    <row r="48" spans="1:8" ht="14.4">
      <c r="A48" s="260" t="s">
        <v>626</v>
      </c>
      <c r="B48" s="250">
        <v>3826.69</v>
      </c>
      <c r="C48" s="250"/>
      <c r="D48" s="250">
        <f t="shared" si="0"/>
        <v>3826.69</v>
      </c>
      <c r="E48" s="249"/>
      <c r="F48" s="250">
        <v>-3883.94</v>
      </c>
      <c r="G48" s="249"/>
      <c r="H48" s="250">
        <f t="shared" si="1"/>
        <v>57.25</v>
      </c>
    </row>
    <row r="49" spans="1:8" ht="14.4">
      <c r="A49" s="261">
        <v>935000</v>
      </c>
      <c r="B49" s="249"/>
      <c r="C49" s="249"/>
      <c r="D49" s="250">
        <f t="shared" si="0"/>
        <v>0</v>
      </c>
      <c r="E49" s="249"/>
      <c r="F49" s="250">
        <v>55.87</v>
      </c>
      <c r="G49" s="249"/>
      <c r="H49" s="250">
        <f t="shared" si="1"/>
        <v>-55.87</v>
      </c>
    </row>
    <row r="50" spans="1:8" ht="14.4" thickBot="1">
      <c r="A50" s="256" t="s">
        <v>197</v>
      </c>
      <c r="B50" s="251">
        <f>SUM(B17:B49)</f>
        <v>16006341.149999995</v>
      </c>
      <c r="C50" s="251">
        <f>SUM(C17:C49)</f>
        <v>3456923.23</v>
      </c>
      <c r="D50" s="251">
        <f>SUM(D17:D49)</f>
        <v>19463264.379999995</v>
      </c>
      <c r="E50" s="251"/>
      <c r="F50" s="251">
        <f>SUM(F17:F49)</f>
        <v>-18632653.270000003</v>
      </c>
      <c r="G50" s="251"/>
      <c r="H50" s="251">
        <f>SUM(H17:H49)</f>
        <v>-830611.10999999742</v>
      </c>
    </row>
    <row r="51" spans="1:8" ht="14.4" thickTop="1">
      <c r="D51" s="252"/>
      <c r="E51" s="252"/>
      <c r="F51" s="252"/>
      <c r="G51" s="252"/>
      <c r="H51" s="252"/>
    </row>
    <row r="52" spans="1:8">
      <c r="A52" s="262" t="s">
        <v>198</v>
      </c>
      <c r="D52" s="252"/>
      <c r="E52" s="252"/>
      <c r="F52" s="252"/>
      <c r="G52" s="252"/>
      <c r="H52" s="252"/>
    </row>
    <row r="53" spans="1:8">
      <c r="A53" s="263" t="s">
        <v>667</v>
      </c>
      <c r="B53" s="253">
        <f>+SUM(B17:B20)</f>
        <v>0</v>
      </c>
      <c r="C53" s="253">
        <f>+SUM(C17:C20)</f>
        <v>302.38</v>
      </c>
      <c r="D53" s="253">
        <f>+SUM(D17:D20)</f>
        <v>302.38</v>
      </c>
      <c r="E53" s="252"/>
      <c r="F53" s="253">
        <f>+SUM(F17:F20)</f>
        <v>0</v>
      </c>
      <c r="G53" s="252"/>
      <c r="H53" s="253">
        <f>+SUM(H17:H20)</f>
        <v>-302.38</v>
      </c>
    </row>
    <row r="54" spans="1:8">
      <c r="A54" s="263" t="s">
        <v>205</v>
      </c>
      <c r="B54" s="264">
        <f t="shared" ref="B54:D55" si="2">+B21</f>
        <v>349012.56000000006</v>
      </c>
      <c r="C54" s="264">
        <f t="shared" si="2"/>
        <v>0</v>
      </c>
      <c r="D54" s="264">
        <f t="shared" si="2"/>
        <v>349012.56000000006</v>
      </c>
      <c r="E54" s="265"/>
      <c r="F54" s="264">
        <f>+F21</f>
        <v>-348595.77999999997</v>
      </c>
      <c r="G54" s="265"/>
      <c r="H54" s="300">
        <f>+H21</f>
        <v>-416.78000000008615</v>
      </c>
    </row>
    <row r="55" spans="1:8">
      <c r="A55" s="263" t="s">
        <v>199</v>
      </c>
      <c r="B55" s="264">
        <f t="shared" si="2"/>
        <v>226675.56999999992</v>
      </c>
      <c r="C55" s="264">
        <f t="shared" si="2"/>
        <v>0</v>
      </c>
      <c r="D55" s="264">
        <f t="shared" si="2"/>
        <v>226675.56999999992</v>
      </c>
      <c r="E55" s="265"/>
      <c r="F55" s="264">
        <f>+F22</f>
        <v>-206332.69000000003</v>
      </c>
      <c r="G55" s="265"/>
      <c r="H55" s="300">
        <f>+H22</f>
        <v>-20342.879999999888</v>
      </c>
    </row>
    <row r="56" spans="1:8">
      <c r="A56" s="263" t="s">
        <v>200</v>
      </c>
      <c r="B56" s="253">
        <f>+SUM(B23:B28)</f>
        <v>158092.24999999997</v>
      </c>
      <c r="C56" s="298">
        <f>+SUM(C23:C28)</f>
        <v>847566.74999999919</v>
      </c>
      <c r="D56" s="253">
        <f>+SUM(D23:D28)</f>
        <v>1005658.9999999992</v>
      </c>
      <c r="E56" s="252"/>
      <c r="F56" s="253">
        <f>+SUM(F23:F28)</f>
        <v>-982558.85999999987</v>
      </c>
      <c r="G56" s="252"/>
      <c r="H56" s="253">
        <f>+SUM(H23:H28)</f>
        <v>-23100.139999999334</v>
      </c>
    </row>
    <row r="57" spans="1:8">
      <c r="A57" s="263" t="s">
        <v>201</v>
      </c>
      <c r="B57" s="253">
        <f>+SUM(B29:B35)</f>
        <v>5002415.7100000009</v>
      </c>
      <c r="C57" s="298">
        <f>+SUM(C29:C35)</f>
        <v>993891.74000000022</v>
      </c>
      <c r="D57" s="253">
        <f>+SUM(D29:D35)</f>
        <v>5996307.4500000011</v>
      </c>
      <c r="E57" s="252"/>
      <c r="F57" s="253">
        <f>+SUM(F29:F35)</f>
        <v>-5978482.5300000012</v>
      </c>
      <c r="G57" s="252"/>
      <c r="H57" s="298">
        <f>+SUM(H29:H35)</f>
        <v>-17824.920000000511</v>
      </c>
    </row>
    <row r="58" spans="1:8">
      <c r="A58" s="263" t="s">
        <v>202</v>
      </c>
      <c r="B58" s="253">
        <f>SUM(B36:B37)</f>
        <v>3.5299999999999994</v>
      </c>
      <c r="C58" s="298">
        <f>SUM(C36:C37)</f>
        <v>41.659999999999989</v>
      </c>
      <c r="D58" s="253">
        <f>SUM(D36:D37)</f>
        <v>45.189999999999991</v>
      </c>
      <c r="E58" s="252"/>
      <c r="F58" s="253">
        <f>SUM(F36:F37)</f>
        <v>-44.71999999999997</v>
      </c>
      <c r="G58" s="252"/>
      <c r="H58" s="253">
        <f>SUM(H36:H37)</f>
        <v>-0.4700000000000184</v>
      </c>
    </row>
    <row r="59" spans="1:8">
      <c r="A59" s="263" t="s">
        <v>203</v>
      </c>
      <c r="B59" s="253">
        <f>B38</f>
        <v>0</v>
      </c>
      <c r="C59" s="298">
        <f>C38</f>
        <v>0</v>
      </c>
      <c r="D59" s="253">
        <f>D38</f>
        <v>0</v>
      </c>
      <c r="E59" s="252"/>
      <c r="F59" s="253">
        <f>F38</f>
        <v>0</v>
      </c>
      <c r="G59" s="252"/>
      <c r="H59" s="253">
        <f>H38</f>
        <v>0</v>
      </c>
    </row>
    <row r="60" spans="1:8">
      <c r="A60" s="263" t="s">
        <v>204</v>
      </c>
      <c r="B60" s="266">
        <f>SUM(B39:B49)</f>
        <v>10270141.529999996</v>
      </c>
      <c r="C60" s="266">
        <f>SUM(C39:C49)</f>
        <v>1615120.7000000007</v>
      </c>
      <c r="D60" s="266">
        <f>SUM(D39:D49)</f>
        <v>11885262.229999997</v>
      </c>
      <c r="E60" s="252"/>
      <c r="F60" s="266">
        <f>SUM(F39:F49)</f>
        <v>-11116638.690000001</v>
      </c>
      <c r="G60" s="252"/>
      <c r="H60" s="301">
        <f>SUM(H39:H49)</f>
        <v>-768623.53999999759</v>
      </c>
    </row>
    <row r="61" spans="1:8">
      <c r="A61" s="256" t="str">
        <f>A50</f>
        <v>Grand Total</v>
      </c>
      <c r="B61" s="253">
        <f>SUM(B53:B60)</f>
        <v>16006341.149999997</v>
      </c>
      <c r="C61" s="253">
        <f>SUM(C53:C60)</f>
        <v>3456923.23</v>
      </c>
      <c r="D61" s="253">
        <f>SUM(D53:D60)</f>
        <v>19463264.379999999</v>
      </c>
      <c r="E61" s="252"/>
      <c r="F61" s="253">
        <f>SUM(F53:F60)</f>
        <v>-18632653.270000003</v>
      </c>
      <c r="G61" s="252"/>
      <c r="H61" s="253">
        <f>SUM(H53:H60)</f>
        <v>-830611.10999999742</v>
      </c>
    </row>
    <row r="62" spans="1:8">
      <c r="F62" s="252"/>
    </row>
    <row r="63" spans="1:8">
      <c r="A63" s="256" t="s">
        <v>206</v>
      </c>
      <c r="B63" s="253"/>
      <c r="C63" s="253">
        <f>+SUM(C53:C59)</f>
        <v>1841802.5299999993</v>
      </c>
      <c r="D63" s="253"/>
      <c r="E63" s="252"/>
      <c r="F63" s="253"/>
      <c r="G63" s="252"/>
      <c r="H63" s="253"/>
    </row>
    <row r="64" spans="1:8">
      <c r="C64" s="253"/>
      <c r="D64" s="252"/>
      <c r="E64" s="252"/>
      <c r="F64" s="252"/>
      <c r="G64" s="252"/>
      <c r="H64" s="252"/>
    </row>
    <row r="69" s="256" customFormat="1" ht="9" customHeight="1"/>
    <row r="70" s="256" customFormat="1" ht="14.25" customHeight="1"/>
    <row r="71" s="256" customFormat="1" ht="14.25" customHeight="1"/>
    <row r="72" s="256" customFormat="1" ht="14.25" customHeight="1"/>
  </sheetData>
  <mergeCells count="7">
    <mergeCell ref="A11:H11"/>
    <mergeCell ref="B13:D13"/>
    <mergeCell ref="A3:H3"/>
    <mergeCell ref="A4:H4"/>
    <mergeCell ref="A5:H5"/>
    <mergeCell ref="A6:H6"/>
    <mergeCell ref="A9:H9"/>
  </mergeCells>
  <printOptions horizontalCentered="1"/>
  <pageMargins left="0.7" right="0.7" top="0.5" bottom="0.5" header="0.3" footer="0.3"/>
  <pageSetup scale="75" orientation="portrait" r:id="rId1"/>
  <headerFooter>
    <oddFooter>&amp;R&amp;"Arial,Regular"&amp;A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C297"/>
  <sheetViews>
    <sheetView zoomScaleNormal="100" workbookViewId="0">
      <pane xSplit="2" topLeftCell="C1" activePane="topRight" state="frozen"/>
      <selection pane="topRight"/>
    </sheetView>
  </sheetViews>
  <sheetFormatPr defaultColWidth="9.109375" defaultRowHeight="13.2"/>
  <cols>
    <col min="1" max="1" width="4.88671875" style="136" bestFit="1" customWidth="1"/>
    <col min="2" max="2" width="56.44140625" style="136" customWidth="1"/>
    <col min="3" max="3" width="29.109375" style="137" customWidth="1"/>
    <col min="4" max="4" width="14.6640625" style="136" customWidth="1"/>
    <col min="5" max="5" width="15" style="136" bestFit="1" customWidth="1"/>
    <col min="6" max="6" width="47.88671875" style="139" customWidth="1"/>
    <col min="7" max="7" width="18.44140625" style="140" customWidth="1"/>
    <col min="8" max="8" width="15.5546875" style="139" customWidth="1"/>
    <col min="9" max="9" width="9.109375" style="139"/>
    <col min="10" max="10" width="13.33203125" style="139" bestFit="1" customWidth="1"/>
    <col min="11" max="12" width="9.109375" style="139"/>
    <col min="13" max="20" width="12" style="139" bestFit="1" customWidth="1"/>
    <col min="21" max="21" width="10.6640625" style="139" bestFit="1" customWidth="1"/>
    <col min="22" max="22" width="10.109375" style="139" bestFit="1" customWidth="1"/>
    <col min="23" max="23" width="9.88671875" style="139" bestFit="1" customWidth="1"/>
    <col min="24" max="29" width="10.6640625" style="139" bestFit="1" customWidth="1"/>
    <col min="30" max="16384" width="9.109375" style="139"/>
  </cols>
  <sheetData>
    <row r="1" spans="1:29" ht="13.8">
      <c r="D1" s="138"/>
    </row>
    <row r="2" spans="1:29" ht="39.6">
      <c r="A2" s="141" t="s">
        <v>298</v>
      </c>
      <c r="B2" s="142" t="s">
        <v>595</v>
      </c>
      <c r="C2" s="143" t="s">
        <v>299</v>
      </c>
      <c r="D2" s="144" t="s">
        <v>300</v>
      </c>
      <c r="F2" s="145"/>
      <c r="G2" s="146"/>
      <c r="H2" s="147"/>
      <c r="M2" s="148"/>
      <c r="N2" s="148"/>
      <c r="O2" s="475"/>
      <c r="P2" s="475"/>
      <c r="Q2" s="475"/>
      <c r="R2" s="475"/>
      <c r="S2" s="475"/>
      <c r="T2" s="475"/>
      <c r="U2" s="475"/>
      <c r="V2" s="475"/>
      <c r="W2" s="475"/>
      <c r="X2" s="475" t="s">
        <v>46</v>
      </c>
      <c r="Y2" s="475"/>
      <c r="Z2" s="475"/>
      <c r="AA2" s="475" t="s">
        <v>48</v>
      </c>
      <c r="AB2" s="475"/>
      <c r="AC2" s="475"/>
    </row>
    <row r="3" spans="1:29">
      <c r="A3" s="149"/>
      <c r="D3" s="150"/>
      <c r="F3" s="151"/>
      <c r="G3" s="152"/>
      <c r="H3" s="153"/>
      <c r="M3" s="154"/>
      <c r="N3" s="154"/>
      <c r="O3" s="154"/>
      <c r="P3" s="154"/>
      <c r="Q3" s="154"/>
      <c r="R3" s="154"/>
      <c r="S3" s="154"/>
      <c r="T3" s="154"/>
      <c r="U3" s="154"/>
      <c r="V3" s="154"/>
      <c r="W3" s="154"/>
      <c r="X3" s="154"/>
      <c r="Y3" s="154"/>
      <c r="Z3" s="154"/>
      <c r="AA3" s="154"/>
      <c r="AB3" s="154"/>
      <c r="AC3" s="154"/>
    </row>
    <row r="4" spans="1:29">
      <c r="A4" s="149">
        <v>1</v>
      </c>
      <c r="B4" s="155" t="s">
        <v>301</v>
      </c>
      <c r="C4" s="155"/>
      <c r="F4" s="145"/>
      <c r="G4" s="145"/>
      <c r="H4" s="151"/>
    </row>
    <row r="5" spans="1:29">
      <c r="A5" s="149">
        <f t="shared" ref="A5:A10" si="0">A4+1</f>
        <v>2</v>
      </c>
      <c r="B5" s="156" t="s">
        <v>302</v>
      </c>
      <c r="C5" s="137" t="s">
        <v>303</v>
      </c>
      <c r="D5" s="206">
        <v>3953956836</v>
      </c>
      <c r="E5" s="157"/>
      <c r="F5" s="158"/>
      <c r="G5" s="152"/>
      <c r="H5" s="159"/>
      <c r="I5" s="160"/>
      <c r="J5" s="160"/>
      <c r="K5" s="160"/>
      <c r="L5" s="160"/>
      <c r="M5" s="161"/>
      <c r="N5" s="160"/>
      <c r="O5" s="160"/>
      <c r="P5" s="161"/>
      <c r="Q5" s="160"/>
      <c r="R5" s="160"/>
      <c r="S5" s="161"/>
      <c r="T5" s="160"/>
      <c r="U5" s="160"/>
      <c r="V5" s="161"/>
      <c r="W5" s="160"/>
      <c r="X5" s="160"/>
      <c r="Y5" s="161"/>
      <c r="Z5" s="160"/>
      <c r="AA5" s="160"/>
      <c r="AB5" s="161"/>
      <c r="AC5" s="160"/>
    </row>
    <row r="6" spans="1:29">
      <c r="A6" s="149">
        <f t="shared" si="0"/>
        <v>3</v>
      </c>
      <c r="B6" s="162" t="s">
        <v>304</v>
      </c>
      <c r="C6" s="163" t="s">
        <v>305</v>
      </c>
      <c r="D6" s="207">
        <v>775616</v>
      </c>
      <c r="F6" s="157"/>
      <c r="G6" s="164"/>
      <c r="H6" s="159"/>
      <c r="I6" s="160"/>
      <c r="J6" s="160"/>
      <c r="K6" s="160"/>
      <c r="L6" s="160"/>
      <c r="M6" s="160"/>
      <c r="N6" s="160"/>
      <c r="O6" s="160"/>
      <c r="P6" s="160"/>
      <c r="Q6" s="160"/>
      <c r="R6" s="160"/>
      <c r="S6" s="160"/>
      <c r="T6" s="160"/>
      <c r="U6" s="160"/>
      <c r="V6" s="160"/>
      <c r="W6" s="160"/>
      <c r="X6" s="160"/>
      <c r="Y6" s="160"/>
      <c r="Z6" s="160"/>
      <c r="AA6" s="160"/>
      <c r="AB6" s="160"/>
      <c r="AC6" s="160"/>
    </row>
    <row r="7" spans="1:29">
      <c r="A7" s="149">
        <f t="shared" si="0"/>
        <v>4</v>
      </c>
      <c r="B7" s="156" t="s">
        <v>306</v>
      </c>
      <c r="C7" s="163" t="s">
        <v>307</v>
      </c>
      <c r="D7" s="207">
        <v>63301902</v>
      </c>
      <c r="F7" s="157"/>
      <c r="G7" s="164"/>
      <c r="H7" s="159"/>
      <c r="I7" s="160"/>
      <c r="J7" s="160"/>
      <c r="K7" s="160"/>
      <c r="L7" s="160"/>
      <c r="M7" s="160"/>
      <c r="N7" s="160"/>
      <c r="O7" s="160"/>
      <c r="P7" s="160"/>
      <c r="Q7" s="160"/>
      <c r="R7" s="160"/>
      <c r="S7" s="160"/>
      <c r="T7" s="160"/>
      <c r="U7" s="160"/>
      <c r="V7" s="160"/>
      <c r="W7" s="160"/>
      <c r="X7" s="160"/>
      <c r="Y7" s="160"/>
      <c r="Z7" s="160"/>
      <c r="AA7" s="160"/>
      <c r="AB7" s="160"/>
      <c r="AC7" s="160"/>
    </row>
    <row r="8" spans="1:29">
      <c r="A8" s="149">
        <f t="shared" si="0"/>
        <v>5</v>
      </c>
      <c r="B8" s="156" t="s">
        <v>308</v>
      </c>
      <c r="C8" s="163" t="s">
        <v>309</v>
      </c>
      <c r="D8" s="207">
        <v>7341</v>
      </c>
      <c r="F8" s="157"/>
      <c r="G8" s="164"/>
      <c r="H8" s="159"/>
      <c r="I8" s="160"/>
      <c r="J8" s="160"/>
      <c r="K8" s="160"/>
      <c r="L8" s="160"/>
      <c r="M8" s="160"/>
      <c r="N8" s="160"/>
      <c r="O8" s="160"/>
      <c r="P8" s="160"/>
      <c r="Q8" s="160"/>
      <c r="R8" s="160"/>
      <c r="S8" s="160"/>
      <c r="T8" s="160"/>
      <c r="U8" s="160"/>
      <c r="V8" s="160"/>
      <c r="W8" s="160"/>
      <c r="X8" s="160"/>
      <c r="Y8" s="160"/>
      <c r="Z8" s="160"/>
      <c r="AA8" s="160"/>
      <c r="AB8" s="160"/>
      <c r="AC8" s="160"/>
    </row>
    <row r="9" spans="1:29">
      <c r="A9" s="149">
        <f t="shared" si="0"/>
        <v>6</v>
      </c>
      <c r="B9" s="156" t="s">
        <v>310</v>
      </c>
      <c r="C9" s="163" t="s">
        <v>311</v>
      </c>
      <c r="D9" s="208">
        <v>23762</v>
      </c>
      <c r="F9" s="157"/>
      <c r="G9" s="164"/>
      <c r="H9" s="159"/>
      <c r="I9" s="160"/>
      <c r="J9" s="160"/>
      <c r="K9" s="160"/>
      <c r="L9" s="160"/>
      <c r="M9" s="160"/>
      <c r="N9" s="160"/>
      <c r="O9" s="160"/>
      <c r="P9" s="160"/>
      <c r="Q9" s="160"/>
      <c r="R9" s="160"/>
      <c r="S9" s="160"/>
      <c r="T9" s="160"/>
      <c r="U9" s="160"/>
      <c r="V9" s="160"/>
      <c r="W9" s="160"/>
      <c r="X9" s="160"/>
      <c r="Y9" s="160"/>
      <c r="Z9" s="160"/>
      <c r="AA9" s="160"/>
      <c r="AB9" s="160"/>
      <c r="AC9" s="160"/>
    </row>
    <row r="10" spans="1:29">
      <c r="A10" s="149">
        <f t="shared" si="0"/>
        <v>7</v>
      </c>
      <c r="B10" s="166" t="s">
        <v>312</v>
      </c>
      <c r="C10" s="155" t="str">
        <f>"Ln"&amp;A5&amp;" - "&amp;"Ln"&amp;A6&amp;" - "&amp;"Ln"&amp;A7&amp;" - "&amp;"Ln"&amp;A8&amp;" - "&amp;"Ln"&amp;A9&amp;""</f>
        <v>Ln2 - Ln3 - Ln4 - Ln5 - Ln6</v>
      </c>
      <c r="D10" s="157">
        <f>D5-D6-D7-D8-D9</f>
        <v>3889848215</v>
      </c>
      <c r="E10" s="157"/>
      <c r="F10" s="158"/>
      <c r="G10" s="164"/>
      <c r="H10" s="159"/>
      <c r="I10" s="160"/>
      <c r="J10" s="160"/>
      <c r="K10" s="160"/>
      <c r="L10" s="160"/>
      <c r="M10" s="160"/>
      <c r="N10" s="160"/>
      <c r="O10" s="160"/>
      <c r="P10" s="160"/>
      <c r="Q10" s="160"/>
      <c r="R10" s="160"/>
      <c r="S10" s="160"/>
      <c r="T10" s="160"/>
      <c r="U10" s="160"/>
      <c r="V10" s="160"/>
      <c r="W10" s="160"/>
      <c r="X10" s="160"/>
      <c r="Y10" s="160"/>
      <c r="Z10" s="160"/>
      <c r="AA10" s="160"/>
      <c r="AB10" s="160"/>
      <c r="AC10" s="160"/>
    </row>
    <row r="11" spans="1:29" ht="3" customHeight="1">
      <c r="D11" s="157"/>
      <c r="E11" s="157"/>
      <c r="F11" s="167"/>
      <c r="G11" s="145"/>
      <c r="H11" s="159"/>
      <c r="I11" s="160"/>
      <c r="J11" s="160"/>
      <c r="K11" s="160"/>
      <c r="L11" s="160"/>
      <c r="M11" s="160"/>
      <c r="N11" s="160"/>
      <c r="O11" s="160"/>
      <c r="P11" s="160"/>
      <c r="Q11" s="160"/>
      <c r="R11" s="160"/>
      <c r="S11" s="160"/>
      <c r="T11" s="160"/>
      <c r="U11" s="160"/>
      <c r="V11" s="160"/>
      <c r="W11" s="160"/>
      <c r="X11" s="160"/>
      <c r="Y11" s="160"/>
      <c r="Z11" s="160"/>
      <c r="AA11" s="160"/>
      <c r="AB11" s="160"/>
      <c r="AC11" s="160"/>
    </row>
    <row r="12" spans="1:29">
      <c r="A12" s="149">
        <f>A10+1</f>
        <v>8</v>
      </c>
      <c r="B12" s="156" t="s">
        <v>52</v>
      </c>
      <c r="C12" s="137" t="s">
        <v>313</v>
      </c>
      <c r="D12" s="206">
        <v>1527970108</v>
      </c>
      <c r="E12" s="157"/>
      <c r="F12" s="151"/>
      <c r="G12" s="152"/>
      <c r="H12" s="168"/>
      <c r="I12" s="160"/>
      <c r="J12" s="160"/>
      <c r="K12" s="160"/>
      <c r="L12" s="160"/>
      <c r="M12" s="160"/>
      <c r="N12" s="160"/>
      <c r="O12" s="160"/>
      <c r="P12" s="160"/>
      <c r="Q12" s="160"/>
      <c r="R12" s="160"/>
      <c r="S12" s="160"/>
      <c r="T12" s="160"/>
      <c r="U12" s="160"/>
      <c r="V12" s="160"/>
      <c r="W12" s="160"/>
      <c r="X12" s="160"/>
      <c r="Y12" s="160"/>
      <c r="Z12" s="160"/>
      <c r="AA12" s="160"/>
      <c r="AB12" s="160"/>
      <c r="AC12" s="160"/>
    </row>
    <row r="13" spans="1:29">
      <c r="A13" s="149">
        <f>A12+1</f>
        <v>9</v>
      </c>
      <c r="B13" s="156" t="s">
        <v>314</v>
      </c>
      <c r="C13" s="137" t="s">
        <v>315</v>
      </c>
      <c r="D13" s="208">
        <v>0</v>
      </c>
      <c r="E13" s="157"/>
      <c r="F13" s="158"/>
      <c r="G13" s="152"/>
      <c r="H13" s="159"/>
      <c r="I13" s="160"/>
      <c r="J13" s="160"/>
      <c r="K13" s="160"/>
      <c r="L13" s="160"/>
      <c r="M13" s="160"/>
      <c r="N13" s="160"/>
      <c r="O13" s="160"/>
      <c r="P13" s="160"/>
      <c r="Q13" s="160"/>
      <c r="R13" s="160"/>
      <c r="S13" s="160"/>
      <c r="T13" s="160"/>
      <c r="U13" s="160"/>
      <c r="V13" s="160"/>
      <c r="W13" s="160"/>
      <c r="X13" s="160"/>
      <c r="Y13" s="160"/>
      <c r="Z13" s="160"/>
      <c r="AA13" s="160"/>
      <c r="AB13" s="160"/>
      <c r="AC13" s="160"/>
    </row>
    <row r="14" spans="1:29">
      <c r="A14" s="149">
        <f>A13+1</f>
        <v>10</v>
      </c>
      <c r="B14" s="166" t="s">
        <v>316</v>
      </c>
      <c r="C14" s="137" t="str">
        <f>"Ln"&amp;A12&amp;" - "&amp;"Ln"&amp;A13&amp;""</f>
        <v>Ln8 - Ln9</v>
      </c>
      <c r="D14" s="157">
        <f>D12-D13</f>
        <v>1527970108</v>
      </c>
      <c r="E14" s="157"/>
      <c r="F14" s="158"/>
      <c r="G14" s="152"/>
      <c r="H14" s="159"/>
      <c r="I14" s="160"/>
      <c r="J14" s="160"/>
      <c r="K14" s="160"/>
      <c r="L14" s="160"/>
      <c r="M14" s="160"/>
      <c r="N14" s="160"/>
      <c r="O14" s="160"/>
      <c r="P14" s="160"/>
      <c r="Q14" s="160"/>
      <c r="R14" s="160"/>
      <c r="S14" s="160"/>
      <c r="T14" s="160"/>
      <c r="U14" s="160"/>
      <c r="V14" s="160"/>
      <c r="W14" s="160"/>
      <c r="X14" s="160"/>
      <c r="Y14" s="160"/>
      <c r="Z14" s="160"/>
      <c r="AA14" s="160"/>
      <c r="AB14" s="160"/>
      <c r="AC14" s="160"/>
    </row>
    <row r="15" spans="1:29" ht="3" customHeight="1">
      <c r="B15" s="169"/>
      <c r="D15" s="157"/>
      <c r="E15" s="157"/>
      <c r="F15" s="167"/>
      <c r="G15" s="152"/>
      <c r="H15" s="159"/>
      <c r="I15" s="160"/>
      <c r="J15" s="160"/>
      <c r="K15" s="160"/>
      <c r="L15" s="160"/>
      <c r="M15" s="160"/>
      <c r="N15" s="160"/>
      <c r="O15" s="160"/>
      <c r="P15" s="160"/>
      <c r="Q15" s="160"/>
      <c r="R15" s="160"/>
      <c r="S15" s="160"/>
      <c r="T15" s="160"/>
      <c r="U15" s="160"/>
      <c r="V15" s="160"/>
      <c r="W15" s="160"/>
      <c r="X15" s="160"/>
      <c r="Y15" s="160"/>
      <c r="Z15" s="160"/>
      <c r="AA15" s="160"/>
      <c r="AB15" s="160"/>
      <c r="AC15" s="160"/>
    </row>
    <row r="16" spans="1:29">
      <c r="A16" s="149">
        <f>A14+1</f>
        <v>11</v>
      </c>
      <c r="B16" s="156" t="s">
        <v>53</v>
      </c>
      <c r="C16" s="137" t="s">
        <v>317</v>
      </c>
      <c r="D16" s="206">
        <v>2818128288</v>
      </c>
      <c r="E16" s="157"/>
      <c r="F16" s="170"/>
      <c r="G16" s="152"/>
      <c r="H16" s="159"/>
      <c r="I16" s="160"/>
      <c r="J16" s="160"/>
      <c r="K16" s="160"/>
      <c r="L16" s="160"/>
      <c r="M16" s="161"/>
      <c r="N16" s="160"/>
      <c r="O16" s="160"/>
      <c r="P16" s="161"/>
      <c r="Q16" s="160"/>
      <c r="R16" s="160"/>
      <c r="S16" s="161"/>
      <c r="T16" s="160"/>
      <c r="U16" s="160"/>
      <c r="V16" s="161"/>
      <c r="W16" s="160"/>
      <c r="X16" s="160"/>
      <c r="Y16" s="161"/>
      <c r="Z16" s="160"/>
      <c r="AA16" s="160"/>
      <c r="AB16" s="161"/>
      <c r="AC16" s="160"/>
    </row>
    <row r="17" spans="1:29">
      <c r="A17" s="149">
        <f>A16+1</f>
        <v>12</v>
      </c>
      <c r="B17" s="156" t="s">
        <v>314</v>
      </c>
      <c r="C17" s="137" t="s">
        <v>318</v>
      </c>
      <c r="D17" s="208">
        <v>0</v>
      </c>
      <c r="E17" s="157"/>
      <c r="F17" s="158"/>
      <c r="G17" s="152"/>
      <c r="H17" s="159"/>
      <c r="I17" s="160"/>
      <c r="J17" s="160"/>
      <c r="K17" s="160"/>
      <c r="L17" s="160"/>
      <c r="M17" s="161"/>
      <c r="N17" s="160"/>
      <c r="O17" s="160"/>
      <c r="P17" s="161"/>
      <c r="Q17" s="160"/>
      <c r="R17" s="160"/>
      <c r="S17" s="161"/>
      <c r="T17" s="160"/>
      <c r="U17" s="160"/>
      <c r="V17" s="161"/>
      <c r="W17" s="160"/>
      <c r="X17" s="160"/>
      <c r="Y17" s="161"/>
      <c r="Z17" s="160"/>
      <c r="AA17" s="160"/>
      <c r="AB17" s="161"/>
      <c r="AC17" s="160"/>
    </row>
    <row r="18" spans="1:29">
      <c r="A18" s="149">
        <f>A17+1</f>
        <v>13</v>
      </c>
      <c r="B18" s="171" t="s">
        <v>319</v>
      </c>
      <c r="C18" s="137" t="str">
        <f>"Ln"&amp;A16&amp;" - "&amp;"Ln"&amp;A17&amp;""</f>
        <v>Ln11 - Ln12</v>
      </c>
      <c r="D18" s="157">
        <f>D16-D17</f>
        <v>2818128288</v>
      </c>
      <c r="E18" s="157"/>
      <c r="F18" s="158"/>
      <c r="G18" s="152"/>
      <c r="H18" s="159"/>
      <c r="I18" s="160"/>
      <c r="J18" s="160"/>
      <c r="K18" s="160"/>
      <c r="L18" s="160"/>
      <c r="M18" s="161"/>
      <c r="N18" s="160"/>
      <c r="O18" s="160"/>
      <c r="P18" s="161"/>
      <c r="Q18" s="160"/>
      <c r="R18" s="160"/>
      <c r="S18" s="161"/>
      <c r="T18" s="160"/>
      <c r="U18" s="160"/>
      <c r="V18" s="161"/>
      <c r="W18" s="160"/>
      <c r="X18" s="160"/>
      <c r="Y18" s="161"/>
      <c r="Z18" s="160"/>
      <c r="AA18" s="160"/>
      <c r="AB18" s="161"/>
      <c r="AC18" s="160"/>
    </row>
    <row r="19" spans="1:29" ht="3" customHeight="1">
      <c r="B19" s="171"/>
      <c r="D19" s="157"/>
      <c r="E19" s="157"/>
      <c r="F19" s="172"/>
      <c r="G19" s="152"/>
      <c r="H19" s="159"/>
      <c r="I19" s="160"/>
      <c r="J19" s="160"/>
      <c r="K19" s="160"/>
      <c r="L19" s="160"/>
      <c r="M19" s="161"/>
      <c r="N19" s="160"/>
      <c r="O19" s="160"/>
      <c r="P19" s="161"/>
      <c r="Q19" s="160"/>
      <c r="R19" s="160"/>
      <c r="S19" s="161"/>
      <c r="T19" s="160"/>
      <c r="U19" s="160"/>
      <c r="V19" s="161"/>
      <c r="W19" s="160"/>
      <c r="X19" s="160"/>
      <c r="Y19" s="161"/>
      <c r="Z19" s="160"/>
      <c r="AA19" s="160"/>
      <c r="AB19" s="161"/>
      <c r="AC19" s="160"/>
    </row>
    <row r="20" spans="1:29">
      <c r="A20" s="149">
        <f>A18+1</f>
        <v>14</v>
      </c>
      <c r="B20" s="156" t="s">
        <v>320</v>
      </c>
      <c r="C20" s="155" t="s">
        <v>321</v>
      </c>
      <c r="D20" s="207">
        <v>380677627</v>
      </c>
      <c r="E20" s="157"/>
      <c r="F20" s="172"/>
      <c r="G20" s="152"/>
      <c r="H20" s="159"/>
      <c r="I20" s="160"/>
      <c r="J20" s="160"/>
      <c r="K20" s="160"/>
      <c r="L20" s="160"/>
      <c r="M20" s="160"/>
      <c r="N20" s="160"/>
      <c r="O20" s="160"/>
      <c r="P20" s="160"/>
      <c r="Q20" s="160"/>
      <c r="R20" s="160"/>
      <c r="S20" s="160"/>
      <c r="T20" s="160"/>
      <c r="U20" s="160"/>
      <c r="V20" s="160"/>
      <c r="W20" s="160"/>
      <c r="X20" s="160"/>
      <c r="Y20" s="160"/>
      <c r="Z20" s="160"/>
      <c r="AA20" s="160"/>
      <c r="AB20" s="160"/>
      <c r="AC20" s="160"/>
    </row>
    <row r="21" spans="1:29">
      <c r="A21" s="149">
        <f>A20+1</f>
        <v>15</v>
      </c>
      <c r="B21" s="162" t="s">
        <v>55</v>
      </c>
      <c r="C21" s="137" t="s">
        <v>322</v>
      </c>
      <c r="D21" s="207">
        <v>193134062</v>
      </c>
      <c r="E21" s="157"/>
      <c r="F21" s="158"/>
      <c r="G21" s="145"/>
      <c r="H21" s="159"/>
      <c r="I21" s="160"/>
      <c r="J21" s="160"/>
      <c r="K21" s="160"/>
      <c r="L21" s="160"/>
      <c r="M21" s="160"/>
      <c r="N21" s="160"/>
      <c r="O21" s="160"/>
      <c r="P21" s="160"/>
      <c r="Q21" s="160"/>
      <c r="R21" s="160"/>
      <c r="S21" s="160"/>
      <c r="T21" s="160"/>
      <c r="U21" s="160"/>
      <c r="V21" s="160"/>
      <c r="W21" s="160"/>
      <c r="X21" s="160"/>
      <c r="Y21" s="160"/>
      <c r="Z21" s="160"/>
      <c r="AA21" s="160"/>
      <c r="AB21" s="160"/>
      <c r="AC21" s="160"/>
    </row>
    <row r="22" spans="1:29">
      <c r="A22" s="149">
        <f>A21+1</f>
        <v>16</v>
      </c>
      <c r="B22" s="156" t="s">
        <v>323</v>
      </c>
      <c r="C22" s="137" t="s">
        <v>324</v>
      </c>
      <c r="D22" s="208">
        <v>0</v>
      </c>
      <c r="E22" s="157"/>
      <c r="F22" s="173"/>
      <c r="G22" s="152"/>
      <c r="H22" s="159"/>
      <c r="I22" s="160"/>
      <c r="J22" s="160"/>
      <c r="K22" s="160"/>
      <c r="L22" s="160"/>
      <c r="M22" s="160"/>
      <c r="N22" s="160"/>
      <c r="O22" s="160"/>
      <c r="P22" s="160"/>
      <c r="Q22" s="160"/>
      <c r="R22" s="160"/>
      <c r="S22" s="160"/>
      <c r="T22" s="160"/>
      <c r="U22" s="160"/>
      <c r="V22" s="160"/>
      <c r="W22" s="160"/>
      <c r="X22" s="160"/>
      <c r="Y22" s="160"/>
      <c r="Z22" s="160"/>
      <c r="AA22" s="160"/>
      <c r="AB22" s="160"/>
      <c r="AC22" s="160"/>
    </row>
    <row r="23" spans="1:29">
      <c r="A23" s="149">
        <f>A22+1</f>
        <v>17</v>
      </c>
      <c r="B23" s="166" t="s">
        <v>325</v>
      </c>
      <c r="C23" s="155" t="str">
        <f>"Ln"&amp;A20&amp;" + "&amp;"Ln"&amp;A21&amp;" - "&amp;"Ln"&amp;A22&amp;""</f>
        <v>Ln14 + Ln15 - Ln16</v>
      </c>
      <c r="D23" s="159">
        <f>D20+D21-D22</f>
        <v>573811689</v>
      </c>
      <c r="E23" s="157"/>
      <c r="F23" s="167"/>
      <c r="G23" s="152"/>
      <c r="H23" s="159"/>
      <c r="I23" s="160"/>
      <c r="J23" s="160"/>
      <c r="K23" s="160"/>
      <c r="L23" s="160"/>
      <c r="M23" s="160"/>
      <c r="N23" s="160"/>
      <c r="O23" s="160"/>
      <c r="P23" s="160"/>
      <c r="Q23" s="160"/>
      <c r="R23" s="160"/>
      <c r="S23" s="160"/>
      <c r="T23" s="160"/>
      <c r="U23" s="160"/>
      <c r="V23" s="160"/>
      <c r="W23" s="160"/>
      <c r="X23" s="160"/>
      <c r="Y23" s="160"/>
      <c r="Z23" s="160"/>
      <c r="AA23" s="160"/>
      <c r="AB23" s="160"/>
      <c r="AC23" s="160"/>
    </row>
    <row r="24" spans="1:29" ht="3" customHeight="1">
      <c r="B24" s="166"/>
      <c r="D24" s="159"/>
      <c r="E24" s="157"/>
      <c r="F24" s="167"/>
      <c r="G24" s="152"/>
      <c r="H24" s="159"/>
      <c r="I24" s="160"/>
      <c r="J24" s="160"/>
      <c r="K24" s="160"/>
      <c r="L24" s="160"/>
      <c r="M24" s="160"/>
      <c r="N24" s="160"/>
      <c r="O24" s="160"/>
      <c r="P24" s="160"/>
      <c r="Q24" s="160"/>
      <c r="R24" s="160"/>
      <c r="S24" s="160"/>
      <c r="T24" s="160"/>
      <c r="U24" s="160"/>
      <c r="V24" s="160"/>
      <c r="W24" s="160"/>
      <c r="X24" s="160"/>
      <c r="Y24" s="160"/>
      <c r="Z24" s="160"/>
      <c r="AA24" s="160"/>
      <c r="AB24" s="160"/>
      <c r="AC24" s="160"/>
    </row>
    <row r="25" spans="1:29">
      <c r="A25" s="149">
        <f>A23+1</f>
        <v>18</v>
      </c>
      <c r="B25" s="171" t="s">
        <v>326</v>
      </c>
      <c r="C25" s="137" t="s">
        <v>327</v>
      </c>
      <c r="D25" s="207">
        <v>0</v>
      </c>
      <c r="E25" s="157"/>
      <c r="F25" s="158"/>
      <c r="G25" s="152"/>
      <c r="H25" s="159"/>
      <c r="I25" s="160"/>
      <c r="J25" s="160"/>
      <c r="K25" s="160"/>
      <c r="L25" s="160"/>
      <c r="M25" s="160"/>
      <c r="N25" s="160"/>
      <c r="O25" s="160"/>
      <c r="P25" s="160"/>
      <c r="Q25" s="160"/>
      <c r="R25" s="160"/>
      <c r="S25" s="160"/>
      <c r="T25" s="160"/>
      <c r="U25" s="160"/>
      <c r="V25" s="160"/>
      <c r="W25" s="160"/>
      <c r="X25" s="160"/>
      <c r="Y25" s="160"/>
      <c r="Z25" s="160"/>
      <c r="AA25" s="160"/>
      <c r="AB25" s="160"/>
      <c r="AC25" s="160"/>
    </row>
    <row r="26" spans="1:29">
      <c r="A26" s="149">
        <f>A25+1</f>
        <v>19</v>
      </c>
      <c r="B26" s="162" t="s">
        <v>328</v>
      </c>
      <c r="C26" s="174" t="str">
        <f>"Ln"&amp;A10&amp;"+"&amp;"Ln"&amp;A14&amp;"+"&amp;"Ln"&amp;A18&amp;"+"&amp;"Ln"&amp;A23&amp;"+"&amp;"Ln"&amp;A25&amp;""</f>
        <v>Ln7+Ln10+Ln13+Ln17+Ln18</v>
      </c>
      <c r="D26" s="159">
        <f>D10+D14+D18+D23+D25</f>
        <v>8809758300</v>
      </c>
      <c r="E26" s="157"/>
      <c r="F26" s="158"/>
      <c r="G26" s="152"/>
      <c r="H26" s="159"/>
      <c r="I26" s="160"/>
      <c r="J26" s="160"/>
      <c r="K26" s="160"/>
      <c r="L26" s="160"/>
      <c r="M26" s="160"/>
      <c r="N26" s="160"/>
      <c r="O26" s="160"/>
      <c r="P26" s="160"/>
      <c r="Q26" s="160"/>
      <c r="R26" s="160"/>
      <c r="S26" s="160"/>
      <c r="T26" s="160"/>
      <c r="U26" s="160"/>
      <c r="V26" s="160"/>
      <c r="W26" s="160"/>
      <c r="X26" s="160"/>
      <c r="Y26" s="160"/>
      <c r="Z26" s="160"/>
      <c r="AA26" s="160"/>
      <c r="AB26" s="160"/>
      <c r="AC26" s="160"/>
    </row>
    <row r="27" spans="1:29">
      <c r="D27" s="159"/>
      <c r="E27" s="157"/>
      <c r="H27" s="159"/>
      <c r="I27" s="160"/>
      <c r="J27" s="160"/>
      <c r="K27" s="160"/>
      <c r="L27" s="160"/>
      <c r="M27" s="160"/>
      <c r="N27" s="160"/>
      <c r="O27" s="160"/>
      <c r="P27" s="160"/>
      <c r="Q27" s="160"/>
      <c r="R27" s="160"/>
      <c r="S27" s="160"/>
      <c r="T27" s="160"/>
      <c r="U27" s="160"/>
      <c r="V27" s="160"/>
      <c r="W27" s="160"/>
      <c r="X27" s="160"/>
      <c r="Y27" s="160"/>
      <c r="Z27" s="160"/>
      <c r="AA27" s="160"/>
      <c r="AB27" s="160"/>
      <c r="AC27" s="160"/>
    </row>
    <row r="28" spans="1:29">
      <c r="A28" s="149">
        <f>A26+1</f>
        <v>20</v>
      </c>
      <c r="B28" s="155" t="s">
        <v>114</v>
      </c>
      <c r="C28" s="155"/>
      <c r="D28" s="159"/>
      <c r="E28" s="157"/>
      <c r="F28" s="175"/>
      <c r="G28" s="175"/>
      <c r="H28" s="159"/>
      <c r="I28" s="160"/>
      <c r="J28" s="160"/>
      <c r="K28" s="160"/>
      <c r="L28" s="160"/>
      <c r="M28" s="161"/>
      <c r="O28" s="160"/>
      <c r="P28" s="161"/>
      <c r="Q28" s="160"/>
      <c r="R28" s="160"/>
      <c r="S28" s="161"/>
      <c r="T28" s="160"/>
      <c r="U28" s="160"/>
      <c r="V28" s="161"/>
      <c r="W28" s="160"/>
      <c r="X28" s="160"/>
      <c r="Y28" s="161"/>
      <c r="Z28" s="160"/>
      <c r="AA28" s="160"/>
      <c r="AB28" s="161"/>
      <c r="AC28" s="160"/>
    </row>
    <row r="29" spans="1:29">
      <c r="A29" s="149">
        <f>A28+1</f>
        <v>21</v>
      </c>
      <c r="B29" s="162" t="s">
        <v>49</v>
      </c>
      <c r="C29" s="155" t="s">
        <v>329</v>
      </c>
      <c r="D29" s="206">
        <v>562809245</v>
      </c>
      <c r="E29" s="157"/>
      <c r="F29" s="176"/>
      <c r="G29" s="175"/>
      <c r="H29" s="157"/>
      <c r="I29" s="160"/>
      <c r="J29" s="160"/>
      <c r="K29" s="160"/>
      <c r="L29" s="160"/>
      <c r="M29" s="160"/>
      <c r="N29" s="160"/>
      <c r="O29" s="160"/>
      <c r="P29" s="160"/>
      <c r="Q29" s="160"/>
      <c r="R29" s="160"/>
      <c r="S29" s="160"/>
      <c r="T29" s="160"/>
      <c r="U29" s="160"/>
      <c r="V29" s="160"/>
      <c r="W29" s="160"/>
      <c r="X29" s="160"/>
      <c r="Y29" s="160"/>
      <c r="Z29" s="160"/>
      <c r="AA29" s="160"/>
      <c r="AB29" s="160"/>
      <c r="AC29" s="160"/>
    </row>
    <row r="30" spans="1:29">
      <c r="A30" s="149">
        <f>A29+1</f>
        <v>22</v>
      </c>
      <c r="B30" s="156" t="s">
        <v>304</v>
      </c>
      <c r="C30" s="177" t="s">
        <v>330</v>
      </c>
      <c r="D30" s="207">
        <v>922127</v>
      </c>
      <c r="E30" s="157"/>
      <c r="F30" s="158"/>
      <c r="G30" s="152"/>
      <c r="H30" s="159"/>
      <c r="I30" s="178"/>
      <c r="J30" s="178"/>
      <c r="K30" s="178"/>
      <c r="L30" s="178"/>
      <c r="M30" s="178"/>
      <c r="N30" s="178"/>
      <c r="O30" s="178"/>
      <c r="P30" s="178"/>
      <c r="Q30" s="178"/>
      <c r="R30" s="160"/>
      <c r="S30" s="160"/>
      <c r="T30" s="160"/>
      <c r="U30" s="160"/>
      <c r="V30" s="160"/>
      <c r="W30" s="160"/>
      <c r="X30" s="160"/>
      <c r="Y30" s="160"/>
      <c r="Z30" s="160"/>
      <c r="AA30" s="160"/>
      <c r="AB30" s="160"/>
      <c r="AC30" s="160"/>
    </row>
    <row r="31" spans="1:29">
      <c r="A31" s="149">
        <f>A30+1</f>
        <v>23</v>
      </c>
      <c r="B31" s="470" t="s">
        <v>50</v>
      </c>
      <c r="C31" s="137" t="s">
        <v>331</v>
      </c>
      <c r="D31" s="206">
        <v>1372076472</v>
      </c>
      <c r="E31" s="157"/>
      <c r="F31" s="158"/>
      <c r="G31" s="152"/>
      <c r="H31" s="159"/>
      <c r="I31" s="178"/>
      <c r="J31" s="178"/>
      <c r="K31" s="178"/>
      <c r="L31" s="178"/>
      <c r="M31" s="178"/>
      <c r="N31" s="178"/>
      <c r="O31" s="178"/>
      <c r="P31" s="178"/>
      <c r="Q31" s="178"/>
      <c r="R31" s="160"/>
      <c r="S31" s="160"/>
      <c r="T31" s="160"/>
      <c r="U31" s="160"/>
      <c r="V31" s="160"/>
      <c r="W31" s="160"/>
      <c r="X31" s="160"/>
      <c r="Y31" s="160"/>
      <c r="Z31" s="160"/>
      <c r="AA31" s="160"/>
      <c r="AB31" s="160"/>
      <c r="AC31" s="160"/>
    </row>
    <row r="32" spans="1:29">
      <c r="A32" s="149">
        <f t="shared" ref="A32:A39" si="1">A31+1</f>
        <v>24</v>
      </c>
      <c r="B32" s="156" t="s">
        <v>306</v>
      </c>
      <c r="C32" s="177" t="s">
        <v>332</v>
      </c>
      <c r="D32" s="206">
        <v>63301902</v>
      </c>
      <c r="E32" s="157"/>
      <c r="F32" s="158"/>
      <c r="G32" s="152"/>
      <c r="H32" s="159"/>
      <c r="I32" s="178"/>
      <c r="J32" s="178"/>
      <c r="K32" s="178"/>
      <c r="L32" s="178"/>
      <c r="M32" s="178"/>
      <c r="N32" s="178"/>
      <c r="O32" s="178"/>
      <c r="P32" s="178"/>
      <c r="Q32" s="178"/>
      <c r="R32" s="160"/>
      <c r="S32" s="160"/>
      <c r="T32" s="160"/>
      <c r="U32" s="160"/>
      <c r="V32" s="160"/>
      <c r="W32" s="160"/>
      <c r="X32" s="160"/>
      <c r="Y32" s="160"/>
      <c r="Z32" s="160"/>
      <c r="AA32" s="160"/>
      <c r="AB32" s="160"/>
      <c r="AC32" s="160"/>
    </row>
    <row r="33" spans="1:29">
      <c r="A33" s="149">
        <f t="shared" si="1"/>
        <v>25</v>
      </c>
      <c r="B33" s="156" t="s">
        <v>743</v>
      </c>
      <c r="C33" s="137" t="s">
        <v>333</v>
      </c>
      <c r="D33" s="206">
        <v>13590007</v>
      </c>
      <c r="E33" s="157"/>
      <c r="F33" s="173"/>
      <c r="G33" s="152"/>
      <c r="H33" s="159"/>
      <c r="I33" s="178"/>
      <c r="J33" s="178"/>
      <c r="K33" s="178"/>
      <c r="L33" s="178"/>
      <c r="M33" s="178"/>
      <c r="N33" s="178"/>
      <c r="O33" s="178"/>
      <c r="P33" s="178"/>
      <c r="Q33" s="178"/>
      <c r="R33" s="160"/>
      <c r="S33" s="160"/>
      <c r="T33" s="160"/>
      <c r="U33" s="160"/>
      <c r="V33" s="160"/>
      <c r="W33" s="160"/>
      <c r="X33" s="160"/>
      <c r="Y33" s="160"/>
      <c r="Z33" s="160"/>
      <c r="AA33" s="160"/>
      <c r="AB33" s="160"/>
      <c r="AC33" s="160"/>
    </row>
    <row r="34" spans="1:29">
      <c r="A34" s="149">
        <f t="shared" si="1"/>
        <v>26</v>
      </c>
      <c r="B34" s="156" t="s">
        <v>334</v>
      </c>
      <c r="C34" s="177" t="s">
        <v>335</v>
      </c>
      <c r="D34" s="206">
        <v>19114</v>
      </c>
      <c r="E34" s="157"/>
      <c r="F34" s="173"/>
      <c r="G34" s="152"/>
      <c r="H34" s="159"/>
      <c r="I34" s="178"/>
      <c r="J34" s="178"/>
      <c r="K34" s="178"/>
      <c r="L34" s="178"/>
      <c r="M34" s="178"/>
      <c r="N34" s="178"/>
      <c r="O34" s="178"/>
      <c r="P34" s="178"/>
      <c r="Q34" s="178"/>
      <c r="R34" s="160"/>
      <c r="S34" s="160"/>
      <c r="T34" s="160"/>
      <c r="U34" s="160"/>
      <c r="V34" s="160"/>
      <c r="W34" s="160"/>
      <c r="X34" s="160"/>
      <c r="Y34" s="160"/>
      <c r="Z34" s="160"/>
      <c r="AA34" s="160"/>
      <c r="AB34" s="160"/>
      <c r="AC34" s="160"/>
    </row>
    <row r="35" spans="1:29">
      <c r="A35" s="149">
        <f t="shared" si="1"/>
        <v>27</v>
      </c>
      <c r="B35" s="162" t="s">
        <v>336</v>
      </c>
      <c r="C35" s="137" t="s">
        <v>337</v>
      </c>
      <c r="D35" s="206">
        <v>0</v>
      </c>
      <c r="E35" s="157"/>
      <c r="F35" s="158"/>
      <c r="G35" s="152"/>
      <c r="H35" s="159"/>
      <c r="I35" s="178"/>
      <c r="J35" s="178"/>
      <c r="K35" s="178"/>
      <c r="L35" s="178"/>
      <c r="M35" s="178"/>
      <c r="N35" s="178"/>
      <c r="O35" s="178"/>
      <c r="P35" s="178"/>
      <c r="Q35" s="178"/>
      <c r="R35" s="160"/>
      <c r="S35" s="160"/>
      <c r="T35" s="160"/>
      <c r="U35" s="160"/>
      <c r="V35" s="160"/>
      <c r="W35" s="160"/>
      <c r="X35" s="160"/>
      <c r="Y35" s="160"/>
      <c r="Z35" s="160"/>
      <c r="AA35" s="160"/>
      <c r="AB35" s="160"/>
      <c r="AC35" s="160"/>
    </row>
    <row r="36" spans="1:29">
      <c r="A36" s="149">
        <f t="shared" si="1"/>
        <v>28</v>
      </c>
      <c r="B36" s="156" t="s">
        <v>338</v>
      </c>
      <c r="C36" s="177" t="s">
        <v>339</v>
      </c>
      <c r="D36" s="206">
        <v>0</v>
      </c>
      <c r="E36" s="157"/>
      <c r="F36" s="158"/>
      <c r="G36" s="152"/>
      <c r="H36" s="159"/>
      <c r="I36" s="178"/>
      <c r="J36" s="178"/>
      <c r="K36" s="178"/>
      <c r="L36" s="178"/>
      <c r="M36" s="178"/>
      <c r="N36" s="178"/>
      <c r="O36" s="178"/>
      <c r="P36" s="178"/>
      <c r="Q36" s="178"/>
      <c r="R36" s="160"/>
      <c r="S36" s="160"/>
      <c r="T36" s="160"/>
      <c r="U36" s="160"/>
      <c r="V36" s="160"/>
      <c r="W36" s="160"/>
      <c r="X36" s="160"/>
      <c r="Y36" s="160"/>
      <c r="Z36" s="160"/>
      <c r="AA36" s="160"/>
      <c r="AB36" s="160"/>
      <c r="AC36" s="160"/>
    </row>
    <row r="37" spans="1:29">
      <c r="A37" s="149">
        <f>A36+1</f>
        <v>29</v>
      </c>
      <c r="B37" s="156" t="s">
        <v>340</v>
      </c>
      <c r="C37" s="137" t="s">
        <v>341</v>
      </c>
      <c r="D37" s="207">
        <v>283851297</v>
      </c>
      <c r="E37" s="157"/>
      <c r="F37" s="170"/>
      <c r="G37" s="145"/>
      <c r="H37" s="159"/>
      <c r="I37" s="178"/>
      <c r="J37" s="178"/>
      <c r="K37" s="178"/>
      <c r="L37" s="178"/>
      <c r="M37" s="178"/>
      <c r="N37" s="178"/>
      <c r="O37" s="178"/>
      <c r="P37" s="178"/>
      <c r="Q37" s="178"/>
      <c r="R37" s="160"/>
      <c r="S37" s="160"/>
      <c r="T37" s="160"/>
      <c r="U37" s="160"/>
      <c r="V37" s="160"/>
      <c r="W37" s="160"/>
      <c r="X37" s="160"/>
      <c r="Y37" s="160"/>
      <c r="Z37" s="160"/>
      <c r="AA37" s="160"/>
      <c r="AB37" s="160"/>
      <c r="AC37" s="160"/>
    </row>
    <row r="38" spans="1:29">
      <c r="A38" s="149">
        <f t="shared" si="1"/>
        <v>30</v>
      </c>
      <c r="B38" s="156" t="s">
        <v>342</v>
      </c>
      <c r="C38" s="177" t="s">
        <v>343</v>
      </c>
      <c r="D38" s="208">
        <v>12733</v>
      </c>
      <c r="E38" s="157"/>
      <c r="F38" s="170"/>
      <c r="G38" s="145"/>
      <c r="H38" s="159"/>
      <c r="I38" s="178"/>
      <c r="J38" s="178"/>
      <c r="K38" s="178"/>
      <c r="L38" s="178"/>
      <c r="M38" s="178"/>
      <c r="N38" s="178"/>
      <c r="O38" s="178"/>
      <c r="P38" s="178"/>
      <c r="Q38" s="178"/>
      <c r="R38" s="160"/>
      <c r="S38" s="160"/>
      <c r="T38" s="160"/>
      <c r="U38" s="160"/>
      <c r="V38" s="160"/>
      <c r="W38" s="160"/>
      <c r="X38" s="160"/>
      <c r="Y38" s="160"/>
      <c r="Z38" s="160"/>
      <c r="AA38" s="160"/>
      <c r="AB38" s="160"/>
      <c r="AC38" s="160"/>
    </row>
    <row r="39" spans="1:29" ht="24">
      <c r="A39" s="149">
        <f t="shared" si="1"/>
        <v>31</v>
      </c>
      <c r="B39" s="166" t="s">
        <v>344</v>
      </c>
      <c r="C39" s="179" t="str">
        <f>"Ln"&amp;A29&amp;"-"&amp;"Ln"&amp;A30&amp;"+"&amp;"Ln"&amp;A31&amp;"-"&amp;"Ln"&amp;A32&amp;"+"&amp;"Ln"&amp;A33&amp;"-"&amp;"Ln"&amp;A34&amp;"+"&amp;"Ln"&amp;A35&amp;"-"&amp;"Ln"&amp;A36&amp;"+"&amp;"Ln"&amp;A37&amp;"-"&amp;"Ln"&amp;A38&amp;""</f>
        <v>Ln21-Ln22+Ln23-Ln24+Ln25-Ln26+Ln27-Ln28+Ln29-Ln30</v>
      </c>
      <c r="D39" s="157">
        <f>D29-D30+D31-D32+D33-D34+D35-D36+D37-D38</f>
        <v>2168071145</v>
      </c>
      <c r="E39" s="157"/>
      <c r="F39" s="170"/>
      <c r="G39" s="180"/>
      <c r="H39" s="159"/>
      <c r="I39" s="178"/>
      <c r="J39" s="178"/>
      <c r="K39" s="178"/>
      <c r="L39" s="178"/>
      <c r="M39" s="178"/>
      <c r="N39" s="178"/>
      <c r="O39" s="178"/>
      <c r="P39" s="178"/>
      <c r="Q39" s="178"/>
      <c r="R39" s="160"/>
      <c r="S39" s="160"/>
      <c r="T39" s="160"/>
      <c r="U39" s="160"/>
      <c r="V39" s="160"/>
      <c r="W39" s="160"/>
      <c r="X39" s="160"/>
      <c r="Y39" s="160"/>
      <c r="Z39" s="160"/>
      <c r="AA39" s="160"/>
      <c r="AB39" s="160"/>
      <c r="AC39" s="160"/>
    </row>
    <row r="40" spans="1:29" ht="3" customHeight="1">
      <c r="B40" s="181"/>
      <c r="C40" s="155"/>
      <c r="D40" s="157"/>
      <c r="E40" s="157"/>
      <c r="F40" s="182"/>
      <c r="G40" s="175"/>
      <c r="H40" s="157"/>
      <c r="I40" s="160"/>
      <c r="J40" s="160"/>
      <c r="K40" s="160"/>
      <c r="L40" s="160"/>
      <c r="M40" s="160"/>
      <c r="N40" s="160"/>
      <c r="O40" s="160"/>
      <c r="P40" s="160"/>
      <c r="Q40" s="160"/>
      <c r="R40" s="160"/>
      <c r="S40" s="160"/>
      <c r="T40" s="160"/>
      <c r="U40" s="160"/>
      <c r="V40" s="160"/>
      <c r="W40" s="160"/>
      <c r="X40" s="160"/>
      <c r="Y40" s="160"/>
      <c r="Z40" s="160"/>
      <c r="AA40" s="160"/>
      <c r="AB40" s="160"/>
      <c r="AC40" s="160"/>
    </row>
    <row r="41" spans="1:29">
      <c r="A41" s="149">
        <f>A39+1</f>
        <v>32</v>
      </c>
      <c r="B41" s="156" t="s">
        <v>52</v>
      </c>
      <c r="C41" s="137" t="s">
        <v>345</v>
      </c>
      <c r="D41" s="206">
        <v>454312891</v>
      </c>
      <c r="E41" s="157"/>
      <c r="F41" s="183"/>
      <c r="G41" s="175"/>
      <c r="H41" s="157"/>
      <c r="I41" s="160"/>
      <c r="J41" s="160"/>
      <c r="K41" s="160"/>
      <c r="L41" s="160"/>
      <c r="M41" s="160"/>
      <c r="N41" s="160"/>
      <c r="O41" s="160"/>
      <c r="P41" s="160"/>
      <c r="Q41" s="160"/>
      <c r="R41" s="160"/>
      <c r="S41" s="160"/>
      <c r="T41" s="160"/>
      <c r="U41" s="160"/>
      <c r="V41" s="160"/>
      <c r="W41" s="160"/>
      <c r="X41" s="160"/>
      <c r="Y41" s="160"/>
      <c r="Z41" s="160"/>
      <c r="AA41" s="160"/>
      <c r="AB41" s="160"/>
      <c r="AC41" s="160"/>
    </row>
    <row r="42" spans="1:29">
      <c r="A42" s="149">
        <f>A41+1</f>
        <v>33</v>
      </c>
      <c r="B42" s="156" t="s">
        <v>314</v>
      </c>
      <c r="C42" s="137" t="s">
        <v>346</v>
      </c>
      <c r="D42" s="208">
        <v>0</v>
      </c>
      <c r="E42" s="157"/>
      <c r="F42" s="158"/>
      <c r="G42" s="152"/>
      <c r="H42" s="159"/>
      <c r="I42" s="178"/>
      <c r="J42" s="178"/>
      <c r="K42" s="178"/>
      <c r="L42" s="178"/>
      <c r="M42" s="160"/>
      <c r="N42" s="160"/>
      <c r="O42" s="160"/>
      <c r="P42" s="160"/>
      <c r="Q42" s="160"/>
      <c r="R42" s="160"/>
      <c r="S42" s="160"/>
      <c r="T42" s="160"/>
      <c r="U42" s="160"/>
      <c r="V42" s="160"/>
      <c r="W42" s="160"/>
      <c r="X42" s="160"/>
      <c r="Y42" s="160"/>
      <c r="Z42" s="160"/>
      <c r="AA42" s="160"/>
      <c r="AB42" s="160"/>
      <c r="AC42" s="160"/>
    </row>
    <row r="43" spans="1:29">
      <c r="A43" s="149">
        <f>A42+1</f>
        <v>34</v>
      </c>
      <c r="B43" s="166" t="s">
        <v>347</v>
      </c>
      <c r="C43" s="137" t="str">
        <f>"Ln"&amp;A41&amp;" - "&amp;"Ln"&amp;A42&amp;""</f>
        <v>Ln32 - Ln33</v>
      </c>
      <c r="D43" s="157">
        <f>D41-D42</f>
        <v>454312891</v>
      </c>
      <c r="E43" s="157"/>
      <c r="F43" s="158"/>
      <c r="G43" s="152"/>
      <c r="H43" s="159"/>
      <c r="I43" s="178"/>
      <c r="J43" s="178"/>
      <c r="K43" s="178"/>
      <c r="L43" s="178"/>
      <c r="M43" s="160"/>
      <c r="N43" s="160"/>
      <c r="O43" s="160"/>
      <c r="P43" s="160"/>
      <c r="Q43" s="160"/>
      <c r="R43" s="160"/>
      <c r="S43" s="160"/>
      <c r="T43" s="160"/>
      <c r="U43" s="160"/>
      <c r="V43" s="160"/>
      <c r="W43" s="160"/>
      <c r="X43" s="160"/>
      <c r="Y43" s="160"/>
      <c r="Z43" s="160"/>
      <c r="AA43" s="160"/>
      <c r="AB43" s="160"/>
      <c r="AC43" s="160"/>
    </row>
    <row r="44" spans="1:29" ht="3" customHeight="1">
      <c r="B44" s="156"/>
      <c r="D44" s="157"/>
      <c r="E44" s="157"/>
      <c r="F44" s="167"/>
      <c r="G44" s="152"/>
      <c r="H44" s="159"/>
      <c r="I44" s="178"/>
      <c r="J44" s="178"/>
      <c r="K44" s="178"/>
      <c r="L44" s="178"/>
      <c r="M44" s="160"/>
      <c r="N44" s="160"/>
      <c r="O44" s="160"/>
      <c r="P44" s="160"/>
      <c r="Q44" s="160"/>
      <c r="R44" s="160"/>
      <c r="S44" s="160"/>
      <c r="T44" s="160"/>
      <c r="U44" s="160"/>
      <c r="V44" s="160"/>
      <c r="W44" s="160"/>
      <c r="X44" s="160"/>
      <c r="Y44" s="160"/>
      <c r="Z44" s="160"/>
      <c r="AA44" s="160"/>
      <c r="AB44" s="160"/>
      <c r="AC44" s="160"/>
    </row>
    <row r="45" spans="1:29">
      <c r="A45" s="149">
        <f>A43+1</f>
        <v>35</v>
      </c>
      <c r="B45" s="156" t="s">
        <v>53</v>
      </c>
      <c r="C45" s="137" t="s">
        <v>348</v>
      </c>
      <c r="D45" s="206">
        <v>1034252813</v>
      </c>
      <c r="E45" s="157"/>
      <c r="F45" s="158"/>
      <c r="G45" s="152"/>
      <c r="H45" s="159"/>
      <c r="I45" s="178"/>
      <c r="J45" s="178"/>
      <c r="K45" s="178"/>
      <c r="L45" s="178"/>
      <c r="M45" s="161"/>
      <c r="N45" s="160"/>
      <c r="O45" s="160"/>
      <c r="P45" s="161"/>
      <c r="Q45" s="160"/>
      <c r="R45" s="160"/>
      <c r="S45" s="161"/>
      <c r="T45" s="160"/>
      <c r="U45" s="160"/>
      <c r="V45" s="161"/>
      <c r="W45" s="160"/>
      <c r="X45" s="160"/>
      <c r="Y45" s="161"/>
      <c r="Z45" s="160"/>
      <c r="AA45" s="160"/>
      <c r="AB45" s="161"/>
      <c r="AC45" s="160"/>
    </row>
    <row r="46" spans="1:29">
      <c r="A46" s="149">
        <f>A45+1</f>
        <v>36</v>
      </c>
      <c r="B46" s="156" t="s">
        <v>314</v>
      </c>
      <c r="C46" s="137" t="s">
        <v>349</v>
      </c>
      <c r="D46" s="208">
        <v>0</v>
      </c>
      <c r="E46" s="157"/>
      <c r="F46" s="158"/>
      <c r="G46" s="152"/>
      <c r="H46" s="159"/>
      <c r="I46" s="178"/>
      <c r="J46" s="178"/>
      <c r="K46" s="178"/>
      <c r="L46" s="178"/>
      <c r="M46" s="161"/>
      <c r="N46" s="160"/>
      <c r="O46" s="160"/>
      <c r="P46" s="161"/>
      <c r="Q46" s="160"/>
      <c r="R46" s="160"/>
      <c r="S46" s="161"/>
      <c r="T46" s="160"/>
      <c r="U46" s="160"/>
      <c r="V46" s="161"/>
      <c r="W46" s="160"/>
      <c r="X46" s="160"/>
      <c r="Y46" s="161"/>
      <c r="Z46" s="160"/>
      <c r="AA46" s="160"/>
      <c r="AB46" s="161"/>
      <c r="AC46" s="160"/>
    </row>
    <row r="47" spans="1:29">
      <c r="A47" s="149">
        <f>A46+1</f>
        <v>37</v>
      </c>
      <c r="B47" s="171" t="s">
        <v>350</v>
      </c>
      <c r="C47" s="137" t="str">
        <f>"Ln"&amp;A45&amp;" - "&amp;"Ln"&amp;A46&amp;""</f>
        <v>Ln35 - Ln36</v>
      </c>
      <c r="D47" s="157">
        <f>D45-D46</f>
        <v>1034252813</v>
      </c>
      <c r="E47" s="157"/>
      <c r="F47" s="158"/>
      <c r="G47" s="152"/>
      <c r="H47" s="159"/>
      <c r="I47" s="178"/>
      <c r="J47" s="178"/>
      <c r="K47" s="178"/>
      <c r="L47" s="178"/>
      <c r="M47" s="161"/>
      <c r="N47" s="160"/>
      <c r="O47" s="160"/>
      <c r="P47" s="161"/>
      <c r="Q47" s="160"/>
      <c r="R47" s="160"/>
      <c r="S47" s="161"/>
      <c r="T47" s="160"/>
      <c r="U47" s="160"/>
      <c r="V47" s="161"/>
      <c r="W47" s="160"/>
      <c r="X47" s="160"/>
      <c r="Y47" s="161"/>
      <c r="Z47" s="160"/>
      <c r="AA47" s="160"/>
      <c r="AB47" s="161"/>
      <c r="AC47" s="160"/>
    </row>
    <row r="48" spans="1:29" ht="3" customHeight="1">
      <c r="B48" s="171"/>
      <c r="D48" s="157"/>
      <c r="E48" s="157"/>
      <c r="F48" s="172"/>
      <c r="G48" s="152"/>
      <c r="H48" s="159"/>
      <c r="I48" s="178"/>
      <c r="J48" s="178"/>
      <c r="K48" s="178"/>
      <c r="L48" s="178"/>
      <c r="M48" s="161"/>
      <c r="N48" s="160"/>
      <c r="O48" s="160"/>
      <c r="P48" s="161"/>
      <c r="Q48" s="160"/>
      <c r="R48" s="160"/>
      <c r="S48" s="161"/>
      <c r="T48" s="160"/>
      <c r="U48" s="160"/>
      <c r="V48" s="161"/>
      <c r="W48" s="160"/>
      <c r="X48" s="160"/>
      <c r="Y48" s="161"/>
      <c r="Z48" s="160"/>
      <c r="AA48" s="160"/>
      <c r="AB48" s="161"/>
      <c r="AC48" s="160"/>
    </row>
    <row r="49" spans="1:29">
      <c r="A49" s="149">
        <f>A47+1</f>
        <v>38</v>
      </c>
      <c r="B49" s="162" t="s">
        <v>55</v>
      </c>
      <c r="C49" s="155" t="s">
        <v>351</v>
      </c>
      <c r="D49" s="207">
        <v>84744426</v>
      </c>
      <c r="E49" s="157"/>
      <c r="F49" s="172"/>
      <c r="G49" s="152"/>
      <c r="H49" s="159"/>
      <c r="I49" s="178"/>
      <c r="J49" s="178"/>
      <c r="K49" s="178"/>
      <c r="L49" s="178"/>
      <c r="M49" s="160"/>
      <c r="N49" s="160"/>
      <c r="O49" s="160"/>
      <c r="P49" s="160"/>
      <c r="Q49" s="160"/>
      <c r="R49" s="160"/>
      <c r="S49" s="160"/>
      <c r="T49" s="160"/>
      <c r="U49" s="160"/>
      <c r="V49" s="160"/>
      <c r="W49" s="160"/>
      <c r="X49" s="160"/>
      <c r="Y49" s="160"/>
      <c r="Z49" s="160"/>
      <c r="AA49" s="160"/>
      <c r="AB49" s="160"/>
      <c r="AC49" s="160"/>
    </row>
    <row r="50" spans="1:29">
      <c r="A50" s="149">
        <f>A49+1</f>
        <v>39</v>
      </c>
      <c r="B50" s="156" t="s">
        <v>314</v>
      </c>
      <c r="C50" s="137" t="s">
        <v>352</v>
      </c>
      <c r="D50" s="207">
        <v>0</v>
      </c>
      <c r="E50" s="157"/>
      <c r="F50" s="173"/>
      <c r="G50" s="145"/>
      <c r="H50" s="159"/>
      <c r="I50" s="178"/>
      <c r="J50" s="178"/>
      <c r="K50" s="178"/>
      <c r="L50" s="178"/>
      <c r="M50" s="160"/>
      <c r="N50" s="160"/>
      <c r="O50" s="160"/>
      <c r="P50" s="160"/>
      <c r="Q50" s="160"/>
      <c r="R50" s="160"/>
      <c r="S50" s="160"/>
      <c r="T50" s="160"/>
      <c r="U50" s="160"/>
      <c r="V50" s="160"/>
      <c r="W50" s="160"/>
      <c r="X50" s="160"/>
      <c r="Y50" s="160"/>
      <c r="Z50" s="160"/>
      <c r="AA50" s="160"/>
      <c r="AB50" s="160"/>
      <c r="AC50" s="160"/>
    </row>
    <row r="51" spans="1:29">
      <c r="A51" s="149">
        <f>A50+1</f>
        <v>40</v>
      </c>
      <c r="B51" s="156" t="s">
        <v>320</v>
      </c>
      <c r="C51" s="137" t="s">
        <v>353</v>
      </c>
      <c r="D51" s="208">
        <v>303023309</v>
      </c>
      <c r="E51" s="157"/>
      <c r="F51" s="158"/>
      <c r="G51" s="152"/>
      <c r="H51" s="159"/>
      <c r="I51" s="178"/>
      <c r="J51" s="178"/>
      <c r="K51" s="178"/>
      <c r="L51" s="178"/>
      <c r="M51" s="160"/>
      <c r="N51" s="160"/>
      <c r="O51" s="160"/>
      <c r="P51" s="160"/>
      <c r="Q51" s="160"/>
      <c r="R51" s="160"/>
      <c r="S51" s="160"/>
      <c r="T51" s="160"/>
      <c r="U51" s="160"/>
      <c r="V51" s="160"/>
      <c r="W51" s="160"/>
      <c r="X51" s="160"/>
      <c r="Y51" s="160"/>
      <c r="Z51" s="160"/>
      <c r="AA51" s="160"/>
      <c r="AB51" s="160"/>
      <c r="AC51" s="160"/>
    </row>
    <row r="52" spans="1:29">
      <c r="A52" s="149">
        <f>A51+1</f>
        <v>41</v>
      </c>
      <c r="B52" s="166" t="s">
        <v>325</v>
      </c>
      <c r="C52" s="155" t="str">
        <f>"Ln"&amp;A49&amp;" - "&amp;"Ln"&amp;A50&amp;" + "&amp;"Ln"&amp;A51&amp;""</f>
        <v>Ln38 - Ln39 + Ln40</v>
      </c>
      <c r="D52" s="159">
        <f>D49-D50+D51</f>
        <v>387767735</v>
      </c>
      <c r="E52" s="157"/>
      <c r="F52" s="167"/>
      <c r="G52" s="152"/>
      <c r="H52" s="159"/>
      <c r="I52" s="178"/>
      <c r="J52" s="178"/>
      <c r="K52" s="178"/>
      <c r="L52" s="178"/>
      <c r="M52" s="160"/>
      <c r="N52" s="160"/>
      <c r="O52" s="160"/>
      <c r="P52" s="160"/>
      <c r="Q52" s="160"/>
      <c r="R52" s="160"/>
      <c r="S52" s="160"/>
      <c r="T52" s="160"/>
      <c r="U52" s="160"/>
      <c r="V52" s="160"/>
      <c r="W52" s="160"/>
      <c r="X52" s="160"/>
      <c r="Y52" s="160"/>
      <c r="Z52" s="160"/>
      <c r="AA52" s="160"/>
      <c r="AB52" s="160"/>
      <c r="AC52" s="160"/>
    </row>
    <row r="53" spans="1:29" ht="3" customHeight="1">
      <c r="B53" s="171"/>
      <c r="D53" s="159"/>
      <c r="E53" s="157"/>
      <c r="F53" s="172"/>
      <c r="G53" s="152"/>
      <c r="H53" s="159"/>
      <c r="I53" s="178"/>
      <c r="J53" s="178"/>
      <c r="K53" s="178"/>
      <c r="L53" s="178"/>
      <c r="M53" s="160"/>
      <c r="N53" s="160"/>
      <c r="O53" s="160"/>
      <c r="P53" s="160"/>
      <c r="Q53" s="160"/>
      <c r="R53" s="160"/>
      <c r="S53" s="160"/>
      <c r="T53" s="160"/>
      <c r="U53" s="160"/>
      <c r="V53" s="160"/>
      <c r="W53" s="160"/>
      <c r="X53" s="160"/>
      <c r="Y53" s="160"/>
      <c r="Z53" s="160"/>
      <c r="AA53" s="160"/>
      <c r="AB53" s="160"/>
      <c r="AC53" s="160"/>
    </row>
    <row r="54" spans="1:29">
      <c r="A54" s="149">
        <f>A52+1</f>
        <v>42</v>
      </c>
      <c r="B54" s="171" t="s">
        <v>326</v>
      </c>
      <c r="C54" s="137" t="s">
        <v>327</v>
      </c>
      <c r="D54" s="207">
        <v>0</v>
      </c>
      <c r="E54" s="157"/>
      <c r="F54" s="172"/>
      <c r="G54" s="152"/>
      <c r="H54" s="159"/>
      <c r="I54" s="178"/>
      <c r="J54" s="178"/>
      <c r="K54" s="178"/>
      <c r="L54" s="178"/>
      <c r="M54" s="160"/>
      <c r="N54" s="160"/>
      <c r="O54" s="160"/>
      <c r="P54" s="160"/>
      <c r="Q54" s="160"/>
      <c r="R54" s="160"/>
      <c r="S54" s="160"/>
      <c r="T54" s="160"/>
      <c r="U54" s="160"/>
      <c r="V54" s="160"/>
      <c r="W54" s="160"/>
      <c r="X54" s="160"/>
      <c r="Y54" s="160"/>
      <c r="Z54" s="160"/>
      <c r="AA54" s="160"/>
      <c r="AB54" s="160"/>
      <c r="AC54" s="160"/>
    </row>
    <row r="55" spans="1:29">
      <c r="A55" s="149">
        <f>A54+1</f>
        <v>43</v>
      </c>
      <c r="B55" s="162" t="s">
        <v>354</v>
      </c>
      <c r="C55" s="174" t="str">
        <f>"Ln"&amp;A39&amp;"+"&amp;"Ln"&amp;A43&amp;"+"&amp;"Ln"&amp;A47&amp;"+"&amp;"Ln"&amp;A52&amp;"+"&amp;"Ln"&amp;A54&amp;""</f>
        <v>Ln31+Ln34+Ln37+Ln41+Ln42</v>
      </c>
      <c r="D55" s="159">
        <f>D39+D43+D47+D52+D54</f>
        <v>4044404584</v>
      </c>
      <c r="E55" s="157"/>
      <c r="F55" s="158"/>
      <c r="G55" s="152"/>
      <c r="H55" s="159"/>
      <c r="I55" s="178"/>
      <c r="J55" s="178"/>
      <c r="K55" s="178"/>
      <c r="L55" s="178"/>
      <c r="M55" s="160"/>
      <c r="N55" s="160"/>
      <c r="O55" s="160"/>
      <c r="P55" s="160"/>
      <c r="Q55" s="160"/>
      <c r="R55" s="160"/>
      <c r="S55" s="160"/>
      <c r="T55" s="160"/>
      <c r="U55" s="160"/>
      <c r="V55" s="160"/>
      <c r="W55" s="160"/>
      <c r="X55" s="160"/>
      <c r="Y55" s="160"/>
      <c r="Z55" s="160"/>
      <c r="AA55" s="160"/>
      <c r="AB55" s="160"/>
      <c r="AC55" s="160"/>
    </row>
    <row r="56" spans="1:29">
      <c r="D56" s="157"/>
      <c r="E56" s="157"/>
      <c r="H56" s="157"/>
      <c r="I56" s="160"/>
      <c r="J56" s="160"/>
      <c r="K56" s="160"/>
      <c r="L56" s="160"/>
      <c r="M56" s="475"/>
      <c r="N56" s="475"/>
      <c r="O56" s="475"/>
      <c r="P56" s="475"/>
      <c r="Q56" s="475"/>
      <c r="R56" s="475"/>
      <c r="S56" s="475"/>
      <c r="T56" s="475"/>
      <c r="U56" s="475"/>
      <c r="V56" s="475"/>
      <c r="W56" s="475"/>
      <c r="X56" s="475"/>
      <c r="Y56" s="475"/>
      <c r="Z56" s="475"/>
      <c r="AA56" s="475"/>
      <c r="AB56" s="475"/>
      <c r="AC56" s="475"/>
    </row>
    <row r="57" spans="1:29">
      <c r="A57" s="149">
        <f>A55+1</f>
        <v>44</v>
      </c>
      <c r="B57" s="155" t="s">
        <v>355</v>
      </c>
      <c r="C57" s="155"/>
      <c r="D57" s="157"/>
      <c r="E57" s="157"/>
      <c r="F57" s="184"/>
      <c r="G57" s="184"/>
      <c r="H57" s="159"/>
      <c r="I57" s="159"/>
      <c r="J57" s="159"/>
      <c r="K57" s="159"/>
      <c r="L57" s="159"/>
      <c r="M57" s="154"/>
      <c r="N57" s="154"/>
      <c r="O57" s="154"/>
      <c r="P57" s="154"/>
      <c r="Q57" s="154"/>
      <c r="R57" s="154"/>
      <c r="S57" s="154"/>
      <c r="T57" s="154"/>
      <c r="U57" s="154"/>
      <c r="V57" s="154"/>
      <c r="W57" s="154"/>
      <c r="X57" s="154"/>
      <c r="Y57" s="154"/>
      <c r="Z57" s="154"/>
      <c r="AA57" s="154"/>
      <c r="AB57" s="154"/>
      <c r="AC57" s="154"/>
    </row>
    <row r="58" spans="1:29">
      <c r="A58" s="149">
        <f>A57+1</f>
        <v>45</v>
      </c>
      <c r="B58" s="166" t="s">
        <v>356</v>
      </c>
      <c r="C58" s="137" t="s">
        <v>357</v>
      </c>
      <c r="D58" s="206">
        <v>0</v>
      </c>
      <c r="E58" s="157"/>
      <c r="F58" s="185"/>
      <c r="G58" s="186"/>
      <c r="H58" s="159"/>
      <c r="I58" s="159"/>
      <c r="J58" s="159"/>
      <c r="K58" s="159"/>
      <c r="L58" s="159"/>
      <c r="M58" s="160"/>
      <c r="N58" s="160"/>
      <c r="O58" s="160"/>
      <c r="P58" s="160"/>
      <c r="Q58" s="160"/>
      <c r="R58" s="160"/>
      <c r="S58" s="160"/>
      <c r="T58" s="160"/>
      <c r="U58" s="160"/>
      <c r="V58" s="160"/>
      <c r="W58" s="160"/>
      <c r="X58" s="160"/>
      <c r="Y58" s="160"/>
      <c r="Z58" s="160"/>
      <c r="AA58" s="160"/>
      <c r="AB58" s="160"/>
      <c r="AC58" s="160"/>
    </row>
    <row r="59" spans="1:29" ht="3" customHeight="1">
      <c r="B59" s="162"/>
      <c r="C59" s="155"/>
      <c r="D59" s="157"/>
      <c r="E59" s="157"/>
      <c r="F59" s="187"/>
      <c r="G59" s="184"/>
      <c r="H59" s="159"/>
      <c r="I59" s="159"/>
      <c r="J59" s="159"/>
      <c r="K59" s="159"/>
      <c r="L59" s="159"/>
      <c r="M59" s="160"/>
      <c r="N59" s="160"/>
      <c r="O59" s="160"/>
      <c r="P59" s="160"/>
      <c r="Q59" s="160"/>
      <c r="R59" s="160"/>
      <c r="S59" s="160"/>
      <c r="T59" s="160"/>
      <c r="U59" s="160"/>
      <c r="V59" s="160"/>
      <c r="W59" s="160"/>
      <c r="X59" s="160"/>
      <c r="Y59" s="160"/>
      <c r="Z59" s="160"/>
      <c r="AA59" s="160"/>
      <c r="AB59" s="160"/>
      <c r="AC59" s="160"/>
    </row>
    <row r="60" spans="1:29">
      <c r="A60" s="149">
        <f>A58+1</f>
        <v>46</v>
      </c>
      <c r="B60" s="162" t="s">
        <v>358</v>
      </c>
      <c r="C60" s="155" t="s">
        <v>359</v>
      </c>
      <c r="D60" s="206">
        <v>-1635492991</v>
      </c>
      <c r="E60" s="157"/>
      <c r="F60" s="187"/>
      <c r="G60" s="184"/>
      <c r="H60" s="159"/>
      <c r="I60" s="159"/>
      <c r="J60" s="159"/>
      <c r="K60" s="159"/>
      <c r="L60" s="159"/>
      <c r="M60" s="160"/>
      <c r="N60" s="160"/>
      <c r="O60" s="160"/>
      <c r="P60" s="160"/>
      <c r="Q60" s="160"/>
      <c r="R60" s="160"/>
      <c r="S60" s="160"/>
      <c r="T60" s="160"/>
      <c r="U60" s="160"/>
      <c r="V60" s="160"/>
      <c r="W60" s="160"/>
      <c r="X60" s="160"/>
      <c r="Y60" s="160"/>
      <c r="Z60" s="160"/>
      <c r="AA60" s="160"/>
      <c r="AB60" s="160"/>
      <c r="AC60" s="160"/>
    </row>
    <row r="61" spans="1:29">
      <c r="A61" s="149">
        <f>A60+1</f>
        <v>47</v>
      </c>
      <c r="B61" s="162" t="s">
        <v>360</v>
      </c>
      <c r="C61" s="155" t="s">
        <v>361</v>
      </c>
      <c r="D61" s="165">
        <f>'WP 2'!E21</f>
        <v>-66026579.439999998</v>
      </c>
      <c r="E61" s="157"/>
      <c r="F61" s="187"/>
      <c r="G61" s="186"/>
      <c r="H61" s="159"/>
      <c r="I61" s="159"/>
      <c r="J61" s="159"/>
      <c r="K61" s="159"/>
      <c r="L61" s="159"/>
      <c r="M61" s="160"/>
      <c r="N61" s="160"/>
      <c r="O61" s="160"/>
      <c r="P61" s="160"/>
      <c r="Q61" s="160"/>
      <c r="R61" s="160"/>
      <c r="S61" s="160"/>
      <c r="T61" s="160"/>
      <c r="U61" s="160"/>
      <c r="V61" s="160"/>
      <c r="W61" s="160"/>
      <c r="X61" s="160"/>
      <c r="Y61" s="160"/>
      <c r="Z61" s="160"/>
      <c r="AA61" s="160"/>
      <c r="AB61" s="160"/>
      <c r="AC61" s="160"/>
    </row>
    <row r="62" spans="1:29">
      <c r="A62" s="149">
        <f>A61+1</f>
        <v>48</v>
      </c>
      <c r="B62" s="171" t="s">
        <v>362</v>
      </c>
      <c r="C62" s="137" t="str">
        <f>"Ln"&amp;A60&amp;" - "&amp;"Ln"&amp;A61&amp;""</f>
        <v>Ln46 - Ln47</v>
      </c>
      <c r="D62" s="157">
        <f>D60-D61</f>
        <v>-1569466411.5599999</v>
      </c>
      <c r="E62" s="157"/>
      <c r="F62" s="188"/>
      <c r="G62" s="186"/>
      <c r="H62" s="159"/>
      <c r="I62" s="159"/>
      <c r="J62" s="159"/>
      <c r="K62" s="159"/>
      <c r="L62" s="159"/>
      <c r="M62" s="160"/>
      <c r="N62" s="160"/>
      <c r="O62" s="160"/>
      <c r="P62" s="160"/>
      <c r="Q62" s="160"/>
      <c r="R62" s="160"/>
      <c r="S62" s="160"/>
      <c r="T62" s="160"/>
      <c r="U62" s="160"/>
      <c r="V62" s="160"/>
      <c r="W62" s="160"/>
      <c r="X62" s="160"/>
      <c r="Y62" s="160"/>
      <c r="Z62" s="160"/>
      <c r="AA62" s="160"/>
      <c r="AB62" s="160"/>
      <c r="AC62" s="160"/>
    </row>
    <row r="63" spans="1:29" ht="3" customHeight="1">
      <c r="B63" s="169"/>
      <c r="D63" s="157"/>
      <c r="E63" s="157"/>
      <c r="F63" s="189"/>
      <c r="G63" s="186"/>
      <c r="H63" s="159"/>
      <c r="I63" s="159"/>
      <c r="J63" s="159"/>
      <c r="K63" s="159"/>
      <c r="L63" s="159"/>
      <c r="M63" s="160"/>
      <c r="N63" s="160"/>
      <c r="O63" s="160"/>
      <c r="P63" s="160"/>
      <c r="Q63" s="160"/>
      <c r="R63" s="160"/>
      <c r="S63" s="160"/>
      <c r="T63" s="160"/>
      <c r="U63" s="160"/>
      <c r="V63" s="160"/>
      <c r="W63" s="160"/>
      <c r="X63" s="160"/>
      <c r="Y63" s="160"/>
      <c r="Z63" s="160"/>
      <c r="AA63" s="160"/>
      <c r="AB63" s="160"/>
      <c r="AC63" s="160"/>
    </row>
    <row r="64" spans="1:29">
      <c r="A64" s="149">
        <f>A62+1</f>
        <v>49</v>
      </c>
      <c r="B64" s="162" t="s">
        <v>363</v>
      </c>
      <c r="C64" s="137" t="s">
        <v>364</v>
      </c>
      <c r="D64" s="206">
        <v>-852391453</v>
      </c>
      <c r="E64" s="157"/>
      <c r="F64" s="187"/>
      <c r="G64" s="186"/>
      <c r="H64" s="159"/>
      <c r="I64" s="159"/>
      <c r="J64" s="159"/>
      <c r="K64" s="159"/>
      <c r="L64" s="159"/>
      <c r="M64" s="160"/>
      <c r="N64" s="160"/>
      <c r="O64" s="160"/>
      <c r="P64" s="160"/>
      <c r="Q64" s="160"/>
      <c r="R64" s="160"/>
      <c r="S64" s="160"/>
      <c r="T64" s="160"/>
      <c r="U64" s="160"/>
      <c r="V64" s="160"/>
      <c r="W64" s="160"/>
      <c r="X64" s="160"/>
      <c r="Y64" s="160"/>
      <c r="Z64" s="160"/>
      <c r="AA64" s="160"/>
      <c r="AB64" s="160"/>
      <c r="AC64" s="160"/>
    </row>
    <row r="65" spans="1:29">
      <c r="A65" s="149">
        <f>A64+1</f>
        <v>50</v>
      </c>
      <c r="B65" s="162" t="s">
        <v>365</v>
      </c>
      <c r="C65" s="155" t="s">
        <v>361</v>
      </c>
      <c r="D65" s="165">
        <f>'WP 2'!E22</f>
        <v>-42614438.060000002</v>
      </c>
      <c r="E65" s="157"/>
      <c r="F65" s="187"/>
      <c r="G65" s="186"/>
      <c r="H65" s="159"/>
      <c r="I65" s="159"/>
      <c r="J65" s="159"/>
      <c r="K65" s="159"/>
      <c r="L65" s="159"/>
      <c r="M65" s="160"/>
      <c r="N65" s="160"/>
      <c r="O65" s="160"/>
      <c r="P65" s="160"/>
      <c r="Q65" s="160"/>
      <c r="R65" s="160"/>
      <c r="S65" s="160"/>
      <c r="T65" s="160"/>
      <c r="U65" s="160"/>
      <c r="V65" s="160"/>
      <c r="W65" s="160"/>
      <c r="X65" s="160"/>
      <c r="Y65" s="160"/>
      <c r="Z65" s="160"/>
      <c r="AA65" s="160"/>
      <c r="AB65" s="160"/>
      <c r="AC65" s="160"/>
    </row>
    <row r="66" spans="1:29">
      <c r="A66" s="149">
        <f>A65+1</f>
        <v>51</v>
      </c>
      <c r="B66" s="166" t="s">
        <v>366</v>
      </c>
      <c r="C66" s="137" t="str">
        <f>"Ln"&amp;A64&amp;" - "&amp;"Ln"&amp;A65&amp;""</f>
        <v>Ln49 - Ln50</v>
      </c>
      <c r="D66" s="157">
        <f>D64-D65</f>
        <v>-809777014.94000006</v>
      </c>
      <c r="E66" s="157"/>
      <c r="F66" s="185"/>
      <c r="G66" s="184"/>
      <c r="H66" s="159"/>
      <c r="I66" s="159"/>
      <c r="J66" s="159"/>
      <c r="K66" s="159"/>
      <c r="L66" s="159"/>
      <c r="M66" s="160"/>
      <c r="N66" s="160"/>
      <c r="O66" s="160"/>
      <c r="P66" s="160"/>
      <c r="Q66" s="160"/>
      <c r="R66" s="160"/>
      <c r="S66" s="160"/>
      <c r="T66" s="160"/>
      <c r="U66" s="160"/>
      <c r="V66" s="160"/>
      <c r="W66" s="160"/>
      <c r="X66" s="160"/>
      <c r="Y66" s="160"/>
      <c r="Z66" s="160"/>
      <c r="AA66" s="160"/>
      <c r="AB66" s="160"/>
      <c r="AC66" s="160"/>
    </row>
    <row r="67" spans="1:29" ht="3" customHeight="1">
      <c r="B67" s="181"/>
      <c r="C67" s="155"/>
      <c r="D67" s="157"/>
      <c r="E67" s="157"/>
      <c r="F67" s="190"/>
      <c r="G67" s="184"/>
      <c r="H67" s="159"/>
      <c r="I67" s="159"/>
      <c r="J67" s="159"/>
      <c r="K67" s="159"/>
      <c r="L67" s="159"/>
      <c r="M67" s="160"/>
      <c r="N67" s="160"/>
      <c r="O67" s="160"/>
      <c r="P67" s="160"/>
      <c r="Q67" s="160"/>
      <c r="R67" s="160"/>
      <c r="S67" s="160"/>
      <c r="T67" s="160"/>
      <c r="U67" s="160"/>
      <c r="V67" s="160"/>
      <c r="W67" s="160"/>
      <c r="X67" s="160"/>
      <c r="Y67" s="160"/>
      <c r="Z67" s="160"/>
      <c r="AA67" s="160"/>
      <c r="AB67" s="160"/>
      <c r="AC67" s="160"/>
    </row>
    <row r="68" spans="1:29">
      <c r="A68" s="149">
        <f>A66+1</f>
        <v>52</v>
      </c>
      <c r="B68" s="162" t="s">
        <v>367</v>
      </c>
      <c r="C68" s="137" t="s">
        <v>368</v>
      </c>
      <c r="D68" s="206">
        <v>581685024</v>
      </c>
      <c r="E68" s="157"/>
      <c r="F68" s="187"/>
      <c r="G68" s="186"/>
      <c r="H68" s="159"/>
      <c r="I68" s="159"/>
      <c r="J68" s="159"/>
      <c r="K68" s="159"/>
      <c r="L68" s="159"/>
      <c r="M68" s="160"/>
      <c r="N68" s="160"/>
      <c r="O68" s="160"/>
      <c r="P68" s="160"/>
      <c r="Q68" s="160"/>
      <c r="R68" s="160"/>
      <c r="S68" s="160"/>
      <c r="T68" s="160"/>
      <c r="U68" s="160"/>
      <c r="V68" s="160"/>
      <c r="W68" s="160"/>
      <c r="X68" s="160"/>
      <c r="Y68" s="160"/>
      <c r="Z68" s="160"/>
      <c r="AA68" s="160"/>
      <c r="AB68" s="160"/>
      <c r="AC68" s="160"/>
    </row>
    <row r="69" spans="1:29">
      <c r="A69" s="149">
        <f>A68+1</f>
        <v>53</v>
      </c>
      <c r="B69" s="162" t="s">
        <v>369</v>
      </c>
      <c r="C69" s="155" t="s">
        <v>361</v>
      </c>
      <c r="D69" s="165">
        <f>'WP 2'!E20</f>
        <v>34777221.880000003</v>
      </c>
      <c r="E69" s="157"/>
      <c r="F69" s="187"/>
      <c r="G69" s="186"/>
      <c r="H69" s="159"/>
      <c r="I69" s="159"/>
      <c r="J69" s="159"/>
      <c r="K69" s="159"/>
      <c r="L69" s="159"/>
      <c r="M69" s="160"/>
      <c r="N69" s="160"/>
      <c r="O69" s="160"/>
      <c r="P69" s="160"/>
      <c r="Q69" s="160"/>
      <c r="R69" s="160"/>
      <c r="S69" s="160"/>
      <c r="T69" s="160"/>
      <c r="U69" s="160"/>
      <c r="V69" s="160"/>
      <c r="W69" s="160"/>
      <c r="X69" s="160"/>
      <c r="Y69" s="160"/>
      <c r="Z69" s="160"/>
      <c r="AA69" s="160"/>
      <c r="AB69" s="160"/>
      <c r="AC69" s="160"/>
    </row>
    <row r="70" spans="1:29">
      <c r="A70" s="149">
        <f>A69+1</f>
        <v>54</v>
      </c>
      <c r="B70" s="166" t="s">
        <v>370</v>
      </c>
      <c r="C70" s="137" t="str">
        <f>"Ln"&amp;A68&amp;" - "&amp;"Ln"&amp;A69&amp;""</f>
        <v>Ln52 - Ln53</v>
      </c>
      <c r="D70" s="157">
        <f>D68-D69</f>
        <v>546907802.12</v>
      </c>
      <c r="E70" s="157"/>
      <c r="F70" s="185"/>
      <c r="G70" s="184"/>
      <c r="H70" s="159"/>
      <c r="I70" s="159"/>
      <c r="J70" s="159"/>
      <c r="K70" s="159"/>
      <c r="L70" s="159"/>
      <c r="M70" s="160"/>
      <c r="N70" s="160"/>
      <c r="O70" s="160"/>
      <c r="P70" s="160"/>
      <c r="Q70" s="160"/>
      <c r="R70" s="160"/>
      <c r="S70" s="160"/>
      <c r="T70" s="160"/>
      <c r="U70" s="160"/>
      <c r="V70" s="160"/>
      <c r="W70" s="160"/>
      <c r="X70" s="160"/>
      <c r="Y70" s="160"/>
      <c r="Z70" s="160"/>
      <c r="AA70" s="160"/>
      <c r="AB70" s="160"/>
      <c r="AC70" s="160"/>
    </row>
    <row r="71" spans="1:29">
      <c r="B71" s="162"/>
      <c r="C71" s="155"/>
      <c r="E71" s="157"/>
      <c r="F71" s="176"/>
      <c r="G71" s="175"/>
      <c r="H71" s="157"/>
      <c r="I71" s="160"/>
      <c r="J71" s="160"/>
      <c r="K71" s="160"/>
      <c r="L71" s="160"/>
      <c r="M71" s="160"/>
      <c r="N71" s="160"/>
      <c r="O71" s="160"/>
      <c r="P71" s="160"/>
      <c r="Q71" s="160"/>
      <c r="R71" s="160"/>
      <c r="S71" s="160"/>
      <c r="T71" s="160"/>
      <c r="U71" s="160"/>
      <c r="V71" s="160"/>
      <c r="W71" s="160"/>
      <c r="X71" s="160"/>
      <c r="Y71" s="160"/>
      <c r="Z71" s="160"/>
      <c r="AA71" s="160"/>
      <c r="AB71" s="160"/>
      <c r="AC71" s="160"/>
    </row>
    <row r="72" spans="1:29">
      <c r="A72" s="149">
        <f>A70+1</f>
        <v>55</v>
      </c>
      <c r="B72" s="155" t="s">
        <v>371</v>
      </c>
      <c r="C72" s="137" t="s">
        <v>372</v>
      </c>
      <c r="D72" s="157">
        <f>'WP 3'!B12</f>
        <v>558404.41999999993</v>
      </c>
      <c r="E72" s="191"/>
      <c r="F72" s="145"/>
      <c r="G72" s="152"/>
      <c r="H72" s="159"/>
      <c r="I72" s="178"/>
      <c r="J72" s="160"/>
      <c r="K72" s="160"/>
      <c r="L72" s="160"/>
      <c r="M72" s="160"/>
      <c r="N72" s="160"/>
      <c r="O72" s="160"/>
      <c r="P72" s="160"/>
      <c r="Q72" s="160"/>
      <c r="R72" s="160"/>
      <c r="S72" s="160"/>
      <c r="T72" s="160"/>
      <c r="U72" s="160"/>
      <c r="V72" s="160"/>
      <c r="W72" s="160"/>
      <c r="X72" s="160"/>
      <c r="Y72" s="160"/>
      <c r="Z72" s="160"/>
      <c r="AA72" s="160"/>
      <c r="AB72" s="160"/>
      <c r="AC72" s="160"/>
    </row>
    <row r="73" spans="1:29">
      <c r="B73" s="166"/>
      <c r="D73" s="157"/>
      <c r="E73" s="157"/>
      <c r="F73" s="185"/>
      <c r="G73" s="186"/>
      <c r="H73" s="159"/>
      <c r="I73" s="178"/>
      <c r="J73" s="160"/>
      <c r="K73" s="160"/>
      <c r="L73" s="160"/>
      <c r="M73" s="160"/>
      <c r="N73" s="160"/>
      <c r="O73" s="160"/>
      <c r="P73" s="160"/>
      <c r="Q73" s="160"/>
      <c r="R73" s="160"/>
      <c r="S73" s="160"/>
      <c r="T73" s="160"/>
      <c r="U73" s="160"/>
      <c r="V73" s="160"/>
      <c r="W73" s="160"/>
      <c r="X73" s="160"/>
      <c r="Y73" s="160"/>
      <c r="Z73" s="160"/>
      <c r="AA73" s="160"/>
      <c r="AB73" s="160"/>
      <c r="AC73" s="160"/>
    </row>
    <row r="74" spans="1:29">
      <c r="A74" s="149">
        <f>A72+1</f>
        <v>56</v>
      </c>
      <c r="B74" s="155" t="s">
        <v>373</v>
      </c>
      <c r="C74" s="155"/>
      <c r="D74" s="157"/>
      <c r="E74" s="157"/>
      <c r="F74" s="184"/>
      <c r="G74" s="184"/>
      <c r="H74" s="159"/>
      <c r="I74" s="160"/>
      <c r="J74" s="160"/>
      <c r="K74" s="160"/>
      <c r="L74" s="160"/>
      <c r="M74" s="160"/>
      <c r="N74" s="160"/>
      <c r="O74" s="160"/>
      <c r="P74" s="160"/>
      <c r="Q74" s="160"/>
      <c r="R74" s="160"/>
      <c r="S74" s="160"/>
      <c r="T74" s="160"/>
      <c r="U74" s="160"/>
      <c r="V74" s="160"/>
      <c r="W74" s="160"/>
      <c r="X74" s="160"/>
      <c r="Y74" s="160"/>
      <c r="Z74" s="160"/>
      <c r="AA74" s="160"/>
      <c r="AB74" s="160"/>
      <c r="AC74" s="160"/>
    </row>
    <row r="75" spans="1:29">
      <c r="A75" s="149">
        <f>A74+1</f>
        <v>57</v>
      </c>
      <c r="B75" s="162" t="s">
        <v>374</v>
      </c>
      <c r="C75" s="155" t="s">
        <v>375</v>
      </c>
      <c r="D75" s="206">
        <v>17154961</v>
      </c>
      <c r="E75" s="157"/>
      <c r="F75" s="187"/>
      <c r="G75" s="184"/>
      <c r="H75" s="159"/>
      <c r="I75" s="160"/>
      <c r="J75" s="160"/>
      <c r="K75" s="160"/>
      <c r="L75" s="160"/>
      <c r="M75" s="160"/>
      <c r="N75" s="160"/>
      <c r="O75" s="160"/>
      <c r="P75" s="160"/>
      <c r="Q75" s="160"/>
      <c r="R75" s="160"/>
      <c r="S75" s="160"/>
      <c r="T75" s="160"/>
      <c r="U75" s="160"/>
      <c r="V75" s="160"/>
      <c r="W75" s="160"/>
      <c r="X75" s="160"/>
      <c r="Y75" s="160"/>
      <c r="Z75" s="160"/>
      <c r="AA75" s="160"/>
      <c r="AB75" s="160"/>
      <c r="AC75" s="160"/>
    </row>
    <row r="76" spans="1:29">
      <c r="A76" s="149">
        <f>A75+1</f>
        <v>58</v>
      </c>
      <c r="B76" s="162" t="s">
        <v>376</v>
      </c>
      <c r="C76" s="137" t="s">
        <v>377</v>
      </c>
      <c r="D76" s="206">
        <v>21043896</v>
      </c>
      <c r="E76" s="157"/>
      <c r="F76" s="187"/>
      <c r="G76" s="186"/>
      <c r="H76" s="159"/>
      <c r="I76" s="160"/>
      <c r="J76" s="160"/>
      <c r="K76" s="160"/>
      <c r="L76" s="160"/>
      <c r="M76" s="160"/>
      <c r="N76" s="160"/>
      <c r="O76" s="160"/>
      <c r="P76" s="160"/>
      <c r="Q76" s="160"/>
      <c r="R76" s="160"/>
      <c r="S76" s="160"/>
      <c r="T76" s="160"/>
      <c r="U76" s="160"/>
      <c r="V76" s="160"/>
      <c r="W76" s="160"/>
      <c r="X76" s="160"/>
      <c r="Y76" s="160"/>
      <c r="Z76" s="160"/>
      <c r="AA76" s="160"/>
      <c r="AB76" s="160"/>
      <c r="AC76" s="160"/>
    </row>
    <row r="77" spans="1:29">
      <c r="A77" s="149">
        <f>A76+1</f>
        <v>59</v>
      </c>
      <c r="B77" s="156" t="s">
        <v>378</v>
      </c>
      <c r="C77" s="137" t="s">
        <v>379</v>
      </c>
      <c r="D77" s="206">
        <v>131385551</v>
      </c>
      <c r="E77" s="157"/>
      <c r="F77" s="188"/>
      <c r="G77" s="186"/>
      <c r="H77" s="159"/>
      <c r="I77" s="160"/>
      <c r="J77" s="160"/>
      <c r="K77" s="160"/>
      <c r="L77" s="160"/>
      <c r="M77" s="160"/>
      <c r="N77" s="160"/>
      <c r="O77" s="160"/>
      <c r="P77" s="160"/>
      <c r="Q77" s="160"/>
      <c r="R77" s="160"/>
      <c r="S77" s="160"/>
      <c r="T77" s="160"/>
      <c r="U77" s="160"/>
      <c r="V77" s="160"/>
      <c r="W77" s="160"/>
      <c r="X77" s="160"/>
      <c r="Y77" s="160"/>
      <c r="Z77" s="160"/>
      <c r="AA77" s="160"/>
      <c r="AB77" s="160"/>
      <c r="AC77" s="160"/>
    </row>
    <row r="78" spans="1:29">
      <c r="A78" s="149">
        <f>A77+1</f>
        <v>60</v>
      </c>
      <c r="B78" s="162" t="s">
        <v>380</v>
      </c>
      <c r="C78" s="155" t="s">
        <v>381</v>
      </c>
      <c r="D78" s="165">
        <f>(D75/D77)*D76</f>
        <v>2747693.42915079</v>
      </c>
      <c r="E78" s="192"/>
      <c r="F78" s="188"/>
      <c r="G78" s="186"/>
      <c r="H78" s="159"/>
      <c r="I78" s="159"/>
      <c r="J78" s="159"/>
      <c r="K78" s="159"/>
      <c r="L78" s="159"/>
      <c r="M78" s="160"/>
      <c r="N78" s="160"/>
      <c r="O78" s="160"/>
      <c r="P78" s="160"/>
      <c r="Q78" s="160"/>
      <c r="R78" s="160"/>
      <c r="S78" s="160"/>
      <c r="T78" s="160"/>
      <c r="U78" s="160"/>
      <c r="V78" s="160"/>
      <c r="W78" s="160"/>
      <c r="X78" s="160"/>
      <c r="Y78" s="160"/>
      <c r="Z78" s="160"/>
      <c r="AA78" s="160"/>
      <c r="AB78" s="160"/>
      <c r="AC78" s="160"/>
    </row>
    <row r="79" spans="1:29">
      <c r="A79" s="149">
        <f>A78+1</f>
        <v>61</v>
      </c>
      <c r="B79" s="171" t="s">
        <v>382</v>
      </c>
      <c r="C79" s="137" t="s">
        <v>383</v>
      </c>
      <c r="D79" s="157">
        <f>D75+D78</f>
        <v>19902654.42915079</v>
      </c>
      <c r="E79" s="157"/>
      <c r="F79" s="184"/>
      <c r="G79" s="186"/>
      <c r="H79" s="159"/>
      <c r="I79" s="160"/>
      <c r="J79" s="160"/>
      <c r="K79" s="160"/>
      <c r="L79" s="160"/>
      <c r="M79" s="160"/>
      <c r="N79" s="160"/>
      <c r="O79" s="160"/>
      <c r="P79" s="160"/>
      <c r="Q79" s="160"/>
      <c r="R79" s="160"/>
      <c r="S79" s="160"/>
      <c r="T79" s="160"/>
      <c r="U79" s="160"/>
      <c r="V79" s="160"/>
      <c r="W79" s="160"/>
      <c r="X79" s="160"/>
      <c r="Y79" s="160"/>
      <c r="Z79" s="160"/>
      <c r="AA79" s="160"/>
      <c r="AB79" s="160"/>
      <c r="AC79" s="160"/>
    </row>
    <row r="80" spans="1:29">
      <c r="A80" s="149"/>
      <c r="B80" s="171"/>
      <c r="D80" s="157"/>
      <c r="E80" s="157"/>
      <c r="F80" s="168"/>
      <c r="G80" s="186"/>
      <c r="H80" s="159"/>
      <c r="I80" s="160"/>
      <c r="J80" s="160"/>
      <c r="K80" s="160"/>
      <c r="L80" s="160"/>
      <c r="M80" s="160"/>
      <c r="N80" s="160"/>
      <c r="O80" s="160"/>
      <c r="P80" s="160"/>
      <c r="Q80" s="160"/>
      <c r="R80" s="160"/>
      <c r="S80" s="160"/>
      <c r="T80" s="160"/>
      <c r="U80" s="160"/>
      <c r="V80" s="160"/>
      <c r="W80" s="160"/>
      <c r="X80" s="160"/>
      <c r="Y80" s="160"/>
      <c r="Z80" s="160"/>
      <c r="AA80" s="160"/>
      <c r="AB80" s="160"/>
      <c r="AC80" s="160"/>
    </row>
    <row r="81" spans="1:29">
      <c r="A81" s="149">
        <f>A79+1</f>
        <v>62</v>
      </c>
      <c r="B81" s="155" t="s">
        <v>384</v>
      </c>
      <c r="C81" s="137" t="s">
        <v>385</v>
      </c>
      <c r="D81" s="206">
        <v>6979063</v>
      </c>
      <c r="E81" s="193"/>
      <c r="F81" s="194"/>
      <c r="G81" s="186"/>
      <c r="H81" s="159"/>
      <c r="I81" s="160"/>
      <c r="J81" s="160"/>
      <c r="K81" s="160"/>
      <c r="L81" s="160"/>
      <c r="M81" s="160"/>
      <c r="N81" s="160"/>
      <c r="O81" s="160"/>
      <c r="P81" s="160"/>
      <c r="Q81" s="160"/>
      <c r="R81" s="160"/>
      <c r="S81" s="160"/>
      <c r="T81" s="160"/>
      <c r="U81" s="160"/>
      <c r="V81" s="160"/>
      <c r="W81" s="160"/>
      <c r="X81" s="160"/>
      <c r="Y81" s="160"/>
      <c r="Z81" s="160"/>
      <c r="AA81" s="160"/>
      <c r="AB81" s="160"/>
      <c r="AC81" s="160"/>
    </row>
    <row r="82" spans="1:29">
      <c r="A82" s="149"/>
      <c r="D82" s="157"/>
      <c r="E82" s="157"/>
      <c r="F82" s="188"/>
      <c r="G82" s="186"/>
      <c r="H82" s="159"/>
      <c r="I82" s="160"/>
      <c r="J82" s="160"/>
      <c r="K82" s="160"/>
      <c r="L82" s="160"/>
      <c r="M82" s="160"/>
      <c r="N82" s="160"/>
      <c r="O82" s="160"/>
      <c r="P82" s="160"/>
      <c r="Q82" s="160"/>
      <c r="R82" s="160"/>
      <c r="S82" s="160"/>
      <c r="T82" s="160"/>
      <c r="U82" s="160"/>
      <c r="V82" s="160"/>
      <c r="W82" s="160"/>
      <c r="X82" s="160"/>
      <c r="Y82" s="160"/>
      <c r="Z82" s="160"/>
      <c r="AA82" s="160"/>
      <c r="AB82" s="160"/>
      <c r="AC82" s="160"/>
    </row>
    <row r="83" spans="1:29">
      <c r="A83" s="149">
        <f>A81+1</f>
        <v>63</v>
      </c>
      <c r="B83" s="195" t="s">
        <v>386</v>
      </c>
      <c r="D83" s="157"/>
      <c r="E83" s="157"/>
      <c r="F83" s="188"/>
      <c r="G83" s="186"/>
      <c r="H83" s="159"/>
      <c r="I83" s="160"/>
      <c r="J83" s="160"/>
      <c r="K83" s="160"/>
      <c r="L83" s="160"/>
      <c r="M83" s="160"/>
      <c r="N83" s="160"/>
      <c r="O83" s="160"/>
      <c r="P83" s="160"/>
      <c r="Q83" s="160"/>
      <c r="R83" s="160"/>
      <c r="S83" s="160"/>
      <c r="T83" s="160"/>
      <c r="U83" s="160"/>
      <c r="V83" s="160"/>
      <c r="W83" s="160"/>
      <c r="X83" s="160"/>
      <c r="Y83" s="160"/>
      <c r="Z83" s="160"/>
      <c r="AA83" s="160"/>
      <c r="AB83" s="160"/>
      <c r="AC83" s="160"/>
    </row>
    <row r="84" spans="1:29">
      <c r="A84" s="149">
        <f t="shared" ref="A84:A89" si="2">A83+1</f>
        <v>64</v>
      </c>
      <c r="B84" s="156" t="s">
        <v>292</v>
      </c>
      <c r="C84" s="137" t="s">
        <v>387</v>
      </c>
      <c r="D84" s="206">
        <v>30215472</v>
      </c>
      <c r="E84" s="193"/>
      <c r="F84" s="187"/>
      <c r="G84" s="184"/>
      <c r="H84" s="159"/>
      <c r="I84" s="160"/>
      <c r="J84" s="160"/>
      <c r="K84" s="160"/>
      <c r="L84" s="160"/>
      <c r="M84" s="160"/>
      <c r="N84" s="160"/>
      <c r="O84" s="160"/>
      <c r="P84" s="160"/>
      <c r="Q84" s="160"/>
      <c r="R84" s="160"/>
      <c r="S84" s="160"/>
      <c r="T84" s="160"/>
      <c r="U84" s="160"/>
      <c r="V84" s="160"/>
      <c r="W84" s="160"/>
      <c r="X84" s="160"/>
      <c r="Y84" s="160"/>
      <c r="Z84" s="160"/>
      <c r="AA84" s="160"/>
      <c r="AB84" s="160"/>
      <c r="AC84" s="160"/>
    </row>
    <row r="85" spans="1:29">
      <c r="A85" s="149">
        <f t="shared" si="2"/>
        <v>65</v>
      </c>
      <c r="B85" s="181" t="s">
        <v>388</v>
      </c>
      <c r="C85" s="155" t="s">
        <v>389</v>
      </c>
      <c r="D85" s="157">
        <f>'WP 15'!H57*-1</f>
        <v>17824.920000000511</v>
      </c>
      <c r="E85" s="157"/>
      <c r="F85" s="187"/>
      <c r="G85" s="184"/>
      <c r="H85" s="159"/>
      <c r="I85" s="160"/>
      <c r="J85" s="160"/>
      <c r="K85" s="160"/>
      <c r="L85" s="160"/>
      <c r="M85" s="160"/>
      <c r="N85" s="160"/>
      <c r="O85" s="160"/>
      <c r="P85" s="160"/>
      <c r="Q85" s="160"/>
      <c r="R85" s="160"/>
      <c r="S85" s="160"/>
      <c r="T85" s="160"/>
      <c r="U85" s="160"/>
      <c r="V85" s="160"/>
      <c r="W85" s="160"/>
      <c r="X85" s="160"/>
      <c r="Y85" s="160"/>
      <c r="Z85" s="160"/>
      <c r="AA85" s="160"/>
      <c r="AB85" s="160"/>
      <c r="AC85" s="160"/>
    </row>
    <row r="86" spans="1:29">
      <c r="A86" s="149">
        <f t="shared" si="2"/>
        <v>66</v>
      </c>
      <c r="B86" s="181" t="s">
        <v>390</v>
      </c>
      <c r="C86" s="155" t="s">
        <v>391</v>
      </c>
      <c r="D86" s="159">
        <f>'WP 16'!F39</f>
        <v>1962418.6800000002</v>
      </c>
      <c r="E86" s="193"/>
      <c r="F86" s="187"/>
      <c r="G86" s="184"/>
      <c r="H86" s="159"/>
      <c r="I86" s="160"/>
      <c r="J86" s="160"/>
      <c r="K86" s="160"/>
      <c r="L86" s="160"/>
      <c r="M86" s="160"/>
      <c r="N86" s="160"/>
      <c r="O86" s="160"/>
      <c r="P86" s="160"/>
      <c r="Q86" s="160"/>
      <c r="R86" s="160"/>
      <c r="S86" s="160"/>
      <c r="T86" s="160"/>
      <c r="U86" s="160"/>
      <c r="V86" s="160"/>
      <c r="W86" s="160"/>
      <c r="X86" s="160"/>
      <c r="Y86" s="160"/>
      <c r="Z86" s="160"/>
      <c r="AA86" s="160"/>
      <c r="AB86" s="160"/>
      <c r="AC86" s="160"/>
    </row>
    <row r="87" spans="1:29">
      <c r="A87" s="149">
        <f t="shared" si="2"/>
        <v>67</v>
      </c>
      <c r="B87" s="162" t="s">
        <v>392</v>
      </c>
      <c r="C87" s="137" t="s">
        <v>393</v>
      </c>
      <c r="D87" s="159">
        <f>'WP 9'!E7</f>
        <v>972228.29999999993</v>
      </c>
      <c r="E87" s="193"/>
      <c r="F87" s="187"/>
      <c r="G87" s="184"/>
      <c r="H87" s="159"/>
      <c r="I87" s="160"/>
      <c r="J87" s="160"/>
      <c r="K87" s="160"/>
      <c r="L87" s="160"/>
      <c r="M87" s="160"/>
      <c r="N87" s="160"/>
      <c r="O87" s="160"/>
      <c r="P87" s="160"/>
      <c r="Q87" s="160"/>
      <c r="R87" s="160"/>
      <c r="S87" s="160"/>
      <c r="T87" s="160"/>
      <c r="U87" s="160"/>
      <c r="V87" s="160"/>
      <c r="W87" s="160"/>
      <c r="X87" s="160"/>
      <c r="Y87" s="160"/>
      <c r="Z87" s="160"/>
      <c r="AA87" s="160"/>
      <c r="AB87" s="160"/>
      <c r="AC87" s="160"/>
    </row>
    <row r="88" spans="1:29">
      <c r="A88" s="149">
        <f t="shared" si="2"/>
        <v>68</v>
      </c>
      <c r="B88" s="162" t="s">
        <v>756</v>
      </c>
      <c r="C88" s="137" t="s">
        <v>757</v>
      </c>
      <c r="D88" s="165">
        <f>+'WP 18'!C8</f>
        <v>268595.29000000004</v>
      </c>
      <c r="E88" s="193"/>
      <c r="F88" s="187"/>
      <c r="G88" s="184"/>
      <c r="H88" s="159"/>
      <c r="I88" s="160"/>
      <c r="J88" s="160"/>
      <c r="K88" s="160"/>
      <c r="L88" s="160"/>
      <c r="M88" s="160"/>
      <c r="N88" s="160"/>
      <c r="O88" s="160"/>
      <c r="P88" s="160"/>
      <c r="Q88" s="160"/>
      <c r="R88" s="160"/>
      <c r="S88" s="160"/>
      <c r="T88" s="160"/>
      <c r="U88" s="160"/>
      <c r="V88" s="160"/>
      <c r="W88" s="160"/>
      <c r="X88" s="160"/>
      <c r="Y88" s="160"/>
      <c r="Z88" s="160"/>
      <c r="AA88" s="160"/>
      <c r="AB88" s="160"/>
      <c r="AC88" s="160"/>
    </row>
    <row r="89" spans="1:29">
      <c r="A89" s="149">
        <f t="shared" si="2"/>
        <v>69</v>
      </c>
      <c r="B89" s="166" t="s">
        <v>282</v>
      </c>
      <c r="C89" s="155" t="str">
        <f>"Ln"&amp;A84&amp;" - "&amp;"Ln"&amp;A85&amp;" - "&amp;"Ln"&amp;A86&amp;" - "&amp;"Ln"&amp;A87&amp;" + Ln"&amp;A88</f>
        <v>Ln64 - Ln65 - Ln66 - Ln67 + Ln68</v>
      </c>
      <c r="D89" s="159">
        <f>D84-D85-D86-D87+D88</f>
        <v>27531595.389999997</v>
      </c>
      <c r="E89" s="157"/>
      <c r="F89" s="187"/>
      <c r="G89" s="184"/>
      <c r="H89" s="159"/>
      <c r="I89" s="160"/>
      <c r="J89" s="160"/>
      <c r="K89" s="160"/>
      <c r="L89" s="160"/>
      <c r="M89" s="160"/>
      <c r="N89" s="160"/>
      <c r="O89" s="160"/>
      <c r="P89" s="160"/>
      <c r="Q89" s="160"/>
      <c r="R89" s="160"/>
      <c r="S89" s="160"/>
      <c r="T89" s="160"/>
      <c r="U89" s="160"/>
      <c r="V89" s="160"/>
      <c r="W89" s="160"/>
      <c r="X89" s="160"/>
      <c r="Y89" s="160"/>
      <c r="Z89" s="160"/>
      <c r="AA89" s="160"/>
      <c r="AB89" s="160"/>
      <c r="AC89" s="160"/>
    </row>
    <row r="90" spans="1:29" ht="3" customHeight="1">
      <c r="A90" s="149"/>
      <c r="B90" s="171"/>
      <c r="D90" s="157"/>
      <c r="E90" s="157"/>
      <c r="F90" s="187"/>
      <c r="G90" s="186"/>
      <c r="H90" s="159"/>
      <c r="I90" s="160"/>
      <c r="J90" s="160"/>
      <c r="K90" s="160"/>
      <c r="L90" s="160"/>
      <c r="M90" s="160"/>
      <c r="N90" s="160"/>
      <c r="O90" s="160"/>
      <c r="P90" s="160"/>
      <c r="Q90" s="160"/>
      <c r="R90" s="160"/>
      <c r="S90" s="160"/>
      <c r="T90" s="160"/>
      <c r="U90" s="160"/>
      <c r="V90" s="160"/>
      <c r="W90" s="160"/>
      <c r="X90" s="160"/>
      <c r="Y90" s="160"/>
      <c r="Z90" s="160"/>
      <c r="AA90" s="160"/>
      <c r="AB90" s="160"/>
      <c r="AC90" s="160"/>
    </row>
    <row r="91" spans="1:29">
      <c r="A91" s="149">
        <f>A89+1</f>
        <v>70</v>
      </c>
      <c r="B91" s="162" t="s">
        <v>394</v>
      </c>
      <c r="C91" s="155" t="s">
        <v>395</v>
      </c>
      <c r="D91" s="206">
        <v>142124</v>
      </c>
      <c r="E91" s="157"/>
      <c r="F91" s="188"/>
      <c r="G91" s="184"/>
      <c r="H91" s="159"/>
      <c r="I91" s="160"/>
      <c r="J91" s="160"/>
      <c r="K91" s="160"/>
      <c r="L91" s="160"/>
      <c r="M91" s="160"/>
      <c r="N91" s="160"/>
      <c r="O91" s="160"/>
      <c r="P91" s="160"/>
      <c r="Q91" s="160"/>
      <c r="R91" s="160"/>
      <c r="S91" s="160"/>
      <c r="T91" s="160"/>
      <c r="U91" s="160"/>
      <c r="V91" s="160"/>
      <c r="W91" s="160"/>
      <c r="X91" s="160"/>
      <c r="Y91" s="160"/>
      <c r="Z91" s="160"/>
      <c r="AA91" s="160"/>
      <c r="AB91" s="160"/>
      <c r="AC91" s="160"/>
    </row>
    <row r="92" spans="1:29">
      <c r="A92" s="149">
        <f>A91+1</f>
        <v>71</v>
      </c>
      <c r="B92" s="162" t="s">
        <v>396</v>
      </c>
      <c r="C92" s="137" t="s">
        <v>397</v>
      </c>
      <c r="D92" s="208">
        <v>0</v>
      </c>
      <c r="E92" s="157"/>
      <c r="F92" s="185"/>
      <c r="G92" s="184"/>
      <c r="H92" s="159"/>
      <c r="I92" s="160"/>
      <c r="J92" s="160"/>
      <c r="K92" s="160"/>
      <c r="L92" s="160"/>
      <c r="M92" s="160"/>
      <c r="N92" s="160"/>
      <c r="O92" s="160"/>
      <c r="P92" s="160"/>
      <c r="Q92" s="160"/>
      <c r="R92" s="160"/>
      <c r="S92" s="160"/>
      <c r="T92" s="160"/>
      <c r="U92" s="160"/>
      <c r="V92" s="160"/>
      <c r="W92" s="160"/>
      <c r="X92" s="160"/>
      <c r="Y92" s="160"/>
      <c r="Z92" s="160"/>
      <c r="AA92" s="160"/>
      <c r="AB92" s="160"/>
      <c r="AC92" s="160"/>
    </row>
    <row r="93" spans="1:29">
      <c r="A93" s="149">
        <f>A92+1</f>
        <v>72</v>
      </c>
      <c r="B93" s="166" t="s">
        <v>398</v>
      </c>
      <c r="C93" s="137" t="str">
        <f>"Ln"&amp;A91&amp;" + "&amp;"Ln"&amp;A92&amp;""</f>
        <v>Ln70 + Ln71</v>
      </c>
      <c r="D93" s="157">
        <f>SUM(D91:D92)</f>
        <v>142124</v>
      </c>
      <c r="E93" s="157"/>
      <c r="F93" s="185"/>
      <c r="G93" s="186"/>
      <c r="H93" s="159"/>
      <c r="I93" s="160"/>
      <c r="J93" s="160"/>
      <c r="K93" s="160"/>
      <c r="L93" s="160"/>
      <c r="M93" s="160"/>
      <c r="N93" s="160"/>
      <c r="O93" s="160"/>
      <c r="P93" s="160"/>
      <c r="Q93" s="160"/>
      <c r="R93" s="160"/>
      <c r="S93" s="160"/>
      <c r="T93" s="160"/>
      <c r="U93" s="160"/>
      <c r="V93" s="160"/>
      <c r="W93" s="160"/>
      <c r="X93" s="160"/>
      <c r="Y93" s="160"/>
      <c r="Z93" s="160"/>
      <c r="AA93" s="160"/>
      <c r="AB93" s="160"/>
      <c r="AC93" s="160"/>
    </row>
    <row r="94" spans="1:29" ht="3" customHeight="1">
      <c r="A94" s="149"/>
      <c r="B94" s="166"/>
      <c r="C94" s="155"/>
      <c r="D94" s="157"/>
      <c r="E94" s="157"/>
      <c r="F94" s="188"/>
      <c r="G94" s="186"/>
      <c r="H94" s="159"/>
      <c r="I94" s="160"/>
      <c r="J94" s="160"/>
      <c r="K94" s="160"/>
      <c r="L94" s="160"/>
      <c r="M94" s="160"/>
      <c r="N94" s="160"/>
      <c r="O94" s="160"/>
      <c r="P94" s="160"/>
      <c r="Q94" s="160"/>
      <c r="R94" s="160"/>
      <c r="S94" s="160"/>
      <c r="T94" s="160"/>
      <c r="U94" s="160"/>
      <c r="V94" s="160"/>
      <c r="W94" s="160"/>
      <c r="X94" s="160"/>
      <c r="Y94" s="160"/>
      <c r="Z94" s="160"/>
      <c r="AA94" s="160"/>
      <c r="AB94" s="160"/>
      <c r="AC94" s="160"/>
    </row>
    <row r="95" spans="1:29">
      <c r="A95" s="149">
        <f>A93+1</f>
        <v>73</v>
      </c>
      <c r="B95" s="166" t="s">
        <v>399</v>
      </c>
      <c r="C95" s="137" t="s">
        <v>400</v>
      </c>
      <c r="D95" s="206">
        <v>1520489</v>
      </c>
      <c r="E95" s="157"/>
      <c r="F95" s="188"/>
      <c r="G95" s="184"/>
      <c r="H95" s="159"/>
      <c r="I95" s="160"/>
      <c r="J95" s="160"/>
      <c r="K95" s="160"/>
      <c r="L95" s="160"/>
      <c r="M95" s="160"/>
      <c r="N95" s="160"/>
      <c r="O95" s="160"/>
      <c r="P95" s="160"/>
      <c r="Q95" s="160"/>
      <c r="R95" s="160"/>
      <c r="S95" s="160"/>
      <c r="T95" s="160"/>
      <c r="U95" s="160"/>
      <c r="V95" s="160"/>
      <c r="W95" s="160"/>
      <c r="X95" s="160"/>
      <c r="Y95" s="160"/>
      <c r="Z95" s="160"/>
      <c r="AA95" s="160"/>
      <c r="AB95" s="160"/>
      <c r="AC95" s="160"/>
    </row>
    <row r="96" spans="1:29" s="136" customFormat="1">
      <c r="A96" s="149">
        <f>A95+1</f>
        <v>74</v>
      </c>
      <c r="B96" s="171" t="s">
        <v>401</v>
      </c>
      <c r="C96" s="137" t="s">
        <v>402</v>
      </c>
      <c r="D96" s="206">
        <v>190048403</v>
      </c>
      <c r="E96" s="157"/>
      <c r="F96" s="196"/>
      <c r="G96" s="186"/>
      <c r="H96" s="159"/>
      <c r="I96" s="157"/>
      <c r="J96" s="157"/>
      <c r="K96" s="157"/>
      <c r="L96" s="157"/>
      <c r="M96" s="157"/>
      <c r="N96" s="157"/>
      <c r="O96" s="157"/>
      <c r="P96" s="157"/>
      <c r="Q96" s="157"/>
      <c r="R96" s="157"/>
      <c r="S96" s="157"/>
      <c r="T96" s="157"/>
      <c r="U96" s="157"/>
      <c r="V96" s="157"/>
      <c r="W96" s="157"/>
      <c r="X96" s="157"/>
      <c r="Y96" s="157"/>
      <c r="Z96" s="157"/>
      <c r="AA96" s="157"/>
      <c r="AB96" s="157"/>
      <c r="AC96" s="157"/>
    </row>
    <row r="97" spans="1:29" s="136" customFormat="1">
      <c r="A97" s="149">
        <f t="shared" ref="A97:A101" si="3">A96+1</f>
        <v>75</v>
      </c>
      <c r="B97" s="162" t="s">
        <v>388</v>
      </c>
      <c r="C97" s="155" t="s">
        <v>389</v>
      </c>
      <c r="D97" s="157">
        <f>'WP 15'!H60*-1</f>
        <v>768623.53999999759</v>
      </c>
      <c r="E97" s="157"/>
      <c r="F97" s="187"/>
      <c r="G97" s="186"/>
      <c r="H97" s="159"/>
      <c r="I97" s="157"/>
      <c r="J97" s="157"/>
      <c r="K97" s="157"/>
      <c r="L97" s="157"/>
      <c r="M97" s="157"/>
      <c r="N97" s="157"/>
      <c r="O97" s="157"/>
      <c r="P97" s="157"/>
      <c r="Q97" s="157"/>
      <c r="R97" s="157"/>
      <c r="S97" s="157"/>
      <c r="T97" s="157"/>
      <c r="U97" s="157"/>
      <c r="V97" s="157"/>
      <c r="W97" s="157"/>
      <c r="X97" s="157"/>
      <c r="Y97" s="157"/>
      <c r="Z97" s="157"/>
      <c r="AA97" s="157"/>
      <c r="AB97" s="157"/>
      <c r="AC97" s="157"/>
    </row>
    <row r="98" spans="1:29" s="136" customFormat="1">
      <c r="A98" s="149">
        <f t="shared" si="3"/>
        <v>76</v>
      </c>
      <c r="B98" s="162" t="s">
        <v>390</v>
      </c>
      <c r="C98" s="155" t="s">
        <v>391</v>
      </c>
      <c r="D98" s="159">
        <f>'WP 16'!F56</f>
        <v>10613445.49</v>
      </c>
      <c r="E98" s="157"/>
      <c r="F98" s="196"/>
      <c r="G98" s="186"/>
      <c r="H98" s="159"/>
      <c r="I98" s="157"/>
      <c r="J98" s="157"/>
      <c r="K98" s="157"/>
      <c r="L98" s="157"/>
      <c r="M98" s="157"/>
      <c r="N98" s="157"/>
      <c r="O98" s="157"/>
      <c r="P98" s="157"/>
      <c r="Q98" s="157"/>
      <c r="R98" s="157"/>
      <c r="S98" s="157"/>
      <c r="T98" s="157"/>
      <c r="U98" s="157"/>
      <c r="V98" s="157"/>
      <c r="W98" s="157"/>
      <c r="X98" s="157"/>
      <c r="Y98" s="157"/>
      <c r="Z98" s="157"/>
      <c r="AA98" s="157"/>
      <c r="AB98" s="157"/>
      <c r="AC98" s="157"/>
    </row>
    <row r="99" spans="1:29" s="136" customFormat="1">
      <c r="A99" s="149">
        <f t="shared" si="3"/>
        <v>77</v>
      </c>
      <c r="B99" s="162" t="s">
        <v>756</v>
      </c>
      <c r="C99" s="155" t="s">
        <v>757</v>
      </c>
      <c r="D99" s="165">
        <f>+'WP 18'!C15</f>
        <v>14062854.603975665</v>
      </c>
      <c r="E99" s="157"/>
      <c r="F99" s="196"/>
      <c r="G99" s="186"/>
      <c r="H99" s="159"/>
      <c r="I99" s="157"/>
      <c r="J99" s="157"/>
      <c r="K99" s="157"/>
      <c r="L99" s="157"/>
      <c r="M99" s="157"/>
      <c r="N99" s="157"/>
      <c r="O99" s="157"/>
      <c r="P99" s="157"/>
      <c r="Q99" s="157"/>
      <c r="R99" s="157"/>
      <c r="S99" s="157"/>
      <c r="T99" s="157"/>
      <c r="U99" s="157"/>
      <c r="V99" s="157"/>
      <c r="W99" s="157"/>
      <c r="X99" s="157"/>
      <c r="Y99" s="157"/>
      <c r="Z99" s="157"/>
      <c r="AA99" s="157"/>
      <c r="AB99" s="157"/>
      <c r="AC99" s="157"/>
    </row>
    <row r="100" spans="1:29" s="136" customFormat="1">
      <c r="A100" s="149">
        <f t="shared" si="3"/>
        <v>78</v>
      </c>
      <c r="B100" s="166" t="s">
        <v>403</v>
      </c>
      <c r="C100" s="155" t="str">
        <f>"Ln"&amp;A96&amp;" - "&amp;"Ln"&amp;A97&amp;" - "&amp;"Ln"&amp;A98&amp;" + Ln"&amp;A99</f>
        <v>Ln74 - Ln75 - Ln76 + Ln77</v>
      </c>
      <c r="D100" s="157">
        <f>D96-D97-D98+D99</f>
        <v>192729188.57397565</v>
      </c>
      <c r="E100" s="157"/>
      <c r="F100" s="196"/>
      <c r="G100" s="186"/>
      <c r="H100" s="159"/>
      <c r="I100" s="157"/>
      <c r="J100" s="157"/>
      <c r="K100" s="157"/>
      <c r="L100" s="157"/>
      <c r="M100" s="157"/>
      <c r="N100" s="157"/>
      <c r="O100" s="157"/>
      <c r="P100" s="157"/>
      <c r="Q100" s="157"/>
      <c r="R100" s="157"/>
      <c r="S100" s="157"/>
      <c r="T100" s="157"/>
      <c r="U100" s="157"/>
      <c r="V100" s="157"/>
      <c r="W100" s="157"/>
      <c r="X100" s="157"/>
      <c r="Y100" s="157"/>
      <c r="Z100" s="157"/>
      <c r="AA100" s="157"/>
      <c r="AB100" s="157"/>
      <c r="AC100" s="157"/>
    </row>
    <row r="101" spans="1:29">
      <c r="A101" s="149">
        <f t="shared" si="3"/>
        <v>79</v>
      </c>
      <c r="B101" s="166" t="s">
        <v>404</v>
      </c>
      <c r="C101" s="137" t="s">
        <v>405</v>
      </c>
      <c r="D101" s="206">
        <v>1020508</v>
      </c>
      <c r="E101" s="157"/>
      <c r="F101" s="190"/>
      <c r="G101" s="184"/>
      <c r="H101" s="159"/>
      <c r="I101" s="160"/>
      <c r="J101" s="160"/>
      <c r="K101" s="160"/>
      <c r="L101" s="160"/>
      <c r="M101" s="160"/>
      <c r="N101" s="160"/>
      <c r="O101" s="160"/>
      <c r="P101" s="160"/>
      <c r="Q101" s="160"/>
      <c r="R101" s="160"/>
      <c r="S101" s="160"/>
      <c r="T101" s="160"/>
      <c r="U101" s="160"/>
      <c r="V101" s="160"/>
      <c r="W101" s="160"/>
      <c r="X101" s="160"/>
      <c r="Y101" s="160"/>
      <c r="Z101" s="160"/>
      <c r="AA101" s="160"/>
      <c r="AB101" s="160"/>
      <c r="AC101" s="160"/>
    </row>
    <row r="102" spans="1:29" ht="4.5" customHeight="1">
      <c r="A102" s="149"/>
      <c r="B102" s="156"/>
      <c r="D102" s="157"/>
      <c r="E102" s="157"/>
      <c r="F102" s="189"/>
      <c r="G102" s="186"/>
      <c r="H102" s="159"/>
      <c r="I102" s="160"/>
      <c r="J102" s="160"/>
      <c r="K102" s="160"/>
      <c r="L102" s="160"/>
      <c r="M102" s="160"/>
      <c r="N102" s="160"/>
      <c r="O102" s="160"/>
      <c r="P102" s="160"/>
      <c r="Q102" s="160"/>
      <c r="R102" s="160"/>
      <c r="S102" s="160"/>
      <c r="T102" s="160"/>
      <c r="U102" s="160"/>
      <c r="V102" s="160"/>
      <c r="W102" s="160"/>
      <c r="X102" s="160"/>
      <c r="Y102" s="160"/>
      <c r="Z102" s="160"/>
      <c r="AA102" s="160"/>
      <c r="AB102" s="160"/>
      <c r="AC102" s="160"/>
    </row>
    <row r="103" spans="1:29">
      <c r="A103" s="149">
        <f>A101+1</f>
        <v>80</v>
      </c>
      <c r="B103" s="181" t="s">
        <v>406</v>
      </c>
      <c r="C103" s="137" t="s">
        <v>407</v>
      </c>
      <c r="D103" s="206">
        <v>118012</v>
      </c>
      <c r="E103" s="157"/>
      <c r="F103" s="196"/>
      <c r="G103" s="186"/>
      <c r="H103" s="159"/>
      <c r="I103" s="157"/>
      <c r="J103" s="157"/>
      <c r="K103" s="157"/>
      <c r="L103" s="157"/>
      <c r="M103" s="160"/>
      <c r="N103" s="160"/>
      <c r="O103" s="160"/>
      <c r="P103" s="160"/>
      <c r="Q103" s="160"/>
      <c r="R103" s="160"/>
      <c r="S103" s="160"/>
      <c r="T103" s="160"/>
      <c r="U103" s="160"/>
      <c r="V103" s="160"/>
      <c r="W103" s="160"/>
      <c r="X103" s="160"/>
      <c r="Y103" s="160"/>
      <c r="Z103" s="160"/>
      <c r="AA103" s="160"/>
      <c r="AB103" s="160"/>
      <c r="AC103" s="160"/>
    </row>
    <row r="104" spans="1:29">
      <c r="A104" s="149">
        <f t="shared" ref="A104:A115" si="4">A103+1</f>
        <v>81</v>
      </c>
      <c r="B104" s="169" t="s">
        <v>147</v>
      </c>
      <c r="C104" s="155" t="s">
        <v>408</v>
      </c>
      <c r="D104" s="165">
        <f>'WP 4'!F24</f>
        <v>236039.04000000001</v>
      </c>
      <c r="E104" s="157"/>
      <c r="F104" s="196"/>
      <c r="G104" s="186"/>
      <c r="H104" s="159"/>
      <c r="I104" s="160"/>
      <c r="J104" s="160"/>
      <c r="K104" s="160"/>
      <c r="L104" s="160"/>
      <c r="M104" s="160"/>
      <c r="N104" s="160"/>
      <c r="O104" s="160"/>
      <c r="P104" s="160"/>
      <c r="Q104" s="160"/>
      <c r="R104" s="160"/>
      <c r="S104" s="160"/>
      <c r="T104" s="160"/>
      <c r="U104" s="160"/>
      <c r="V104" s="160"/>
      <c r="W104" s="160"/>
      <c r="X104" s="160"/>
      <c r="Y104" s="160"/>
      <c r="Z104" s="160"/>
      <c r="AA104" s="160"/>
      <c r="AB104" s="160"/>
      <c r="AC104" s="160"/>
    </row>
    <row r="105" spans="1:29">
      <c r="A105" s="149">
        <f t="shared" si="4"/>
        <v>82</v>
      </c>
      <c r="B105" s="162" t="s">
        <v>409</v>
      </c>
      <c r="C105" s="137" t="str">
        <f>"Ln"&amp;A103&amp;" + "&amp;"Ln"&amp;A104&amp;""</f>
        <v>Ln80 + Ln81</v>
      </c>
      <c r="D105" s="157">
        <f>D103+D104</f>
        <v>354051.04000000004</v>
      </c>
      <c r="E105" s="157"/>
      <c r="F105" s="187"/>
      <c r="G105" s="186"/>
      <c r="H105" s="159"/>
      <c r="I105" s="160"/>
      <c r="J105" s="160"/>
      <c r="K105" s="160"/>
      <c r="L105" s="160"/>
      <c r="M105" s="160"/>
      <c r="N105" s="160"/>
      <c r="O105" s="160"/>
      <c r="P105" s="160"/>
      <c r="Q105" s="160"/>
      <c r="R105" s="160"/>
      <c r="S105" s="160"/>
      <c r="T105" s="160"/>
      <c r="U105" s="160"/>
      <c r="V105" s="160"/>
      <c r="W105" s="160"/>
      <c r="X105" s="160"/>
      <c r="Y105" s="160"/>
      <c r="Z105" s="160"/>
      <c r="AA105" s="160"/>
      <c r="AB105" s="160"/>
      <c r="AC105" s="160"/>
    </row>
    <row r="106" spans="1:29">
      <c r="A106" s="149">
        <f t="shared" si="4"/>
        <v>83</v>
      </c>
      <c r="B106" s="162" t="s">
        <v>410</v>
      </c>
      <c r="C106" s="137" t="s">
        <v>411</v>
      </c>
      <c r="D106" s="206">
        <v>3986150</v>
      </c>
      <c r="E106" s="157"/>
      <c r="F106" s="185"/>
      <c r="G106" s="186"/>
      <c r="H106" s="159"/>
      <c r="I106" s="160"/>
      <c r="J106" s="160"/>
      <c r="K106" s="160"/>
      <c r="L106" s="160"/>
      <c r="M106" s="160"/>
      <c r="N106" s="160"/>
      <c r="O106" s="160"/>
      <c r="P106" s="160"/>
      <c r="Q106" s="160"/>
      <c r="R106" s="160"/>
      <c r="S106" s="160"/>
      <c r="T106" s="160"/>
      <c r="U106" s="160"/>
      <c r="V106" s="160"/>
      <c r="W106" s="160"/>
      <c r="X106" s="160"/>
      <c r="Y106" s="160"/>
      <c r="Z106" s="160"/>
      <c r="AA106" s="160"/>
      <c r="AB106" s="160"/>
      <c r="AC106" s="160"/>
    </row>
    <row r="107" spans="1:29">
      <c r="A107" s="149">
        <f t="shared" si="4"/>
        <v>84</v>
      </c>
      <c r="B107" s="181" t="s">
        <v>388</v>
      </c>
      <c r="C107" s="155" t="s">
        <v>389</v>
      </c>
      <c r="D107" s="157">
        <f>'WP 15'!H45*-1</f>
        <v>-36.72000000000007</v>
      </c>
      <c r="E107" s="157"/>
      <c r="F107" s="187"/>
      <c r="G107" s="184"/>
      <c r="H107" s="159"/>
      <c r="I107" s="160"/>
      <c r="J107" s="160"/>
      <c r="K107" s="160"/>
      <c r="L107" s="160"/>
      <c r="M107" s="160"/>
      <c r="N107" s="160"/>
      <c r="O107" s="160"/>
      <c r="P107" s="160"/>
      <c r="Q107" s="160"/>
      <c r="R107" s="160"/>
      <c r="S107" s="160"/>
      <c r="T107" s="160"/>
      <c r="U107" s="160"/>
      <c r="V107" s="160"/>
      <c r="W107" s="160"/>
      <c r="X107" s="160"/>
      <c r="Y107" s="160"/>
      <c r="Z107" s="160"/>
      <c r="AA107" s="160"/>
      <c r="AB107" s="160"/>
      <c r="AC107" s="160"/>
    </row>
    <row r="108" spans="1:29">
      <c r="A108" s="149">
        <f t="shared" si="4"/>
        <v>85</v>
      </c>
      <c r="B108" s="181" t="s">
        <v>390</v>
      </c>
      <c r="C108" s="155" t="s">
        <v>391</v>
      </c>
      <c r="D108" s="159">
        <f>'WP 16'!F50</f>
        <v>3757.8</v>
      </c>
      <c r="E108" s="193"/>
      <c r="F108" s="187"/>
      <c r="G108" s="184"/>
      <c r="H108" s="159"/>
      <c r="I108" s="160"/>
      <c r="J108" s="160"/>
      <c r="K108" s="160"/>
      <c r="L108" s="160"/>
      <c r="M108" s="160"/>
      <c r="N108" s="160"/>
      <c r="O108" s="160"/>
      <c r="P108" s="160"/>
      <c r="Q108" s="160"/>
      <c r="R108" s="160"/>
      <c r="S108" s="160"/>
      <c r="T108" s="160"/>
      <c r="U108" s="160"/>
      <c r="V108" s="160"/>
      <c r="W108" s="160"/>
      <c r="X108" s="160"/>
      <c r="Y108" s="160"/>
      <c r="Z108" s="160"/>
      <c r="AA108" s="160"/>
      <c r="AB108" s="160"/>
      <c r="AC108" s="160"/>
    </row>
    <row r="109" spans="1:29">
      <c r="A109" s="149">
        <f t="shared" si="4"/>
        <v>86</v>
      </c>
      <c r="B109" s="169" t="s">
        <v>412</v>
      </c>
      <c r="C109" s="155" t="str">
        <f>C101</f>
        <v>350.3.b</v>
      </c>
      <c r="D109" s="208">
        <f>D101</f>
        <v>1020508</v>
      </c>
      <c r="E109" s="157"/>
      <c r="F109" s="185"/>
      <c r="G109" s="186"/>
      <c r="H109" s="159"/>
      <c r="I109" s="160"/>
      <c r="J109" s="160"/>
      <c r="K109" s="160"/>
      <c r="L109" s="160"/>
      <c r="M109" s="160"/>
      <c r="N109" s="160"/>
      <c r="O109" s="160"/>
      <c r="P109" s="160"/>
      <c r="Q109" s="160"/>
      <c r="R109" s="160"/>
      <c r="S109" s="160"/>
      <c r="T109" s="160"/>
      <c r="U109" s="160"/>
      <c r="V109" s="160"/>
      <c r="W109" s="160"/>
      <c r="X109" s="160"/>
      <c r="Y109" s="160"/>
      <c r="Z109" s="160"/>
      <c r="AA109" s="160"/>
      <c r="AB109" s="160"/>
      <c r="AC109" s="160"/>
    </row>
    <row r="110" spans="1:29">
      <c r="A110" s="149">
        <f t="shared" si="4"/>
        <v>87</v>
      </c>
      <c r="B110" s="156" t="s">
        <v>413</v>
      </c>
      <c r="C110" s="155" t="str">
        <f>"Ln"&amp;A106&amp;" - "&amp;"Ln"&amp;A107&amp;" - "&amp;"Ln"&amp;A108&amp;" - "&amp;"Ln"&amp;A109</f>
        <v>Ln83 - Ln84 - Ln85 - Ln86</v>
      </c>
      <c r="D110" s="157">
        <f>D106-D107-D108-D109</f>
        <v>2961920.9200000004</v>
      </c>
      <c r="E110" s="157"/>
      <c r="F110" s="185"/>
      <c r="G110" s="186"/>
      <c r="H110" s="159"/>
      <c r="I110" s="160"/>
      <c r="J110" s="160"/>
      <c r="K110" s="160"/>
      <c r="L110" s="160"/>
      <c r="M110" s="160"/>
      <c r="N110" s="160"/>
      <c r="O110" s="160"/>
      <c r="P110" s="160"/>
      <c r="Q110" s="160"/>
      <c r="R110" s="160"/>
      <c r="S110" s="160"/>
      <c r="T110" s="160"/>
      <c r="U110" s="160"/>
      <c r="V110" s="160"/>
      <c r="W110" s="160"/>
      <c r="X110" s="160"/>
      <c r="Y110" s="160"/>
      <c r="Z110" s="160"/>
      <c r="AA110" s="160"/>
      <c r="AB110" s="160"/>
      <c r="AC110" s="160"/>
    </row>
    <row r="111" spans="1:29" s="136" customFormat="1">
      <c r="A111" s="149">
        <f t="shared" si="4"/>
        <v>88</v>
      </c>
      <c r="B111" s="162" t="s">
        <v>414</v>
      </c>
      <c r="C111" s="137" t="s">
        <v>415</v>
      </c>
      <c r="D111" s="207">
        <v>140282</v>
      </c>
      <c r="E111" s="157"/>
      <c r="F111" s="155"/>
      <c r="G111" s="13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row>
    <row r="112" spans="1:29" s="136" customFormat="1">
      <c r="A112" s="149">
        <f t="shared" si="4"/>
        <v>89</v>
      </c>
      <c r="B112" s="181" t="s">
        <v>388</v>
      </c>
      <c r="C112" s="155" t="s">
        <v>389</v>
      </c>
      <c r="D112" s="159">
        <f>'WP 15'!H46*-1</f>
        <v>9.9999999999997868E-3</v>
      </c>
      <c r="E112" s="157"/>
      <c r="F112" s="187"/>
      <c r="G112" s="13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row>
    <row r="113" spans="1:29" s="136" customFormat="1">
      <c r="A113" s="149">
        <f t="shared" si="4"/>
        <v>90</v>
      </c>
      <c r="B113" s="181" t="s">
        <v>390</v>
      </c>
      <c r="C113" s="155" t="s">
        <v>391</v>
      </c>
      <c r="D113" s="165">
        <f>'WP 16'!F51</f>
        <v>0</v>
      </c>
      <c r="E113" s="157"/>
      <c r="F113" s="155"/>
      <c r="G113" s="13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row>
    <row r="114" spans="1:29" s="136" customFormat="1">
      <c r="A114" s="149">
        <f t="shared" si="4"/>
        <v>91</v>
      </c>
      <c r="B114" s="162" t="s">
        <v>416</v>
      </c>
      <c r="C114" s="155" t="str">
        <f>"Ln"&amp;A111&amp;" - "&amp;"Ln"&amp;A112&amp;" - "&amp;"Ln"&amp;A113</f>
        <v>Ln88 - Ln89 - Ln90</v>
      </c>
      <c r="D114" s="159">
        <f>D111-D112-D113</f>
        <v>140281.99</v>
      </c>
      <c r="E114" s="157"/>
      <c r="F114" s="155"/>
      <c r="G114" s="13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row>
    <row r="115" spans="1:29" s="136" customFormat="1">
      <c r="A115" s="149">
        <f t="shared" si="4"/>
        <v>92</v>
      </c>
      <c r="B115" s="166" t="s">
        <v>417</v>
      </c>
      <c r="C115" s="155" t="str">
        <f>"Ln"&amp;A105&amp;" + "&amp;"Ln"&amp;A110&amp;" + "&amp;"Ln"&amp;A114</f>
        <v>Ln82 + Ln87 + Ln91</v>
      </c>
      <c r="D115" s="157">
        <f>D105+D110+D114</f>
        <v>3456253.95</v>
      </c>
      <c r="E115" s="157"/>
      <c r="F115" s="188"/>
      <c r="G115" s="186"/>
      <c r="H115" s="159"/>
      <c r="I115" s="157"/>
      <c r="J115" s="157"/>
      <c r="K115" s="157"/>
      <c r="L115" s="157"/>
      <c r="M115" s="157"/>
      <c r="N115" s="157"/>
      <c r="O115" s="157"/>
      <c r="P115" s="157"/>
      <c r="Q115" s="157"/>
      <c r="R115" s="157"/>
      <c r="S115" s="157"/>
      <c r="T115" s="157"/>
      <c r="U115" s="157"/>
      <c r="V115" s="157"/>
      <c r="W115" s="157"/>
      <c r="X115" s="157"/>
      <c r="Y115" s="157"/>
      <c r="Z115" s="157"/>
      <c r="AA115" s="157"/>
      <c r="AB115" s="157"/>
      <c r="AC115" s="157"/>
    </row>
    <row r="116" spans="1:29" s="136" customFormat="1" ht="4.5" customHeight="1">
      <c r="A116" s="149"/>
      <c r="B116" s="155"/>
      <c r="C116" s="137"/>
      <c r="D116" s="157"/>
      <c r="E116" s="157"/>
      <c r="F116" s="188"/>
      <c r="G116" s="197"/>
      <c r="H116" s="159"/>
      <c r="I116" s="157"/>
      <c r="J116" s="157"/>
      <c r="K116" s="157"/>
      <c r="L116" s="157"/>
      <c r="M116" s="157"/>
      <c r="N116" s="157"/>
      <c r="O116" s="157"/>
      <c r="P116" s="157"/>
      <c r="Q116" s="157"/>
      <c r="R116" s="157"/>
      <c r="S116" s="157"/>
      <c r="T116" s="157"/>
      <c r="U116" s="157"/>
      <c r="V116" s="157"/>
      <c r="W116" s="157"/>
      <c r="X116" s="157"/>
      <c r="Y116" s="157"/>
      <c r="Z116" s="157"/>
      <c r="AA116" s="157"/>
      <c r="AB116" s="157"/>
      <c r="AC116" s="157"/>
    </row>
    <row r="117" spans="1:29" s="136" customFormat="1">
      <c r="A117" s="149">
        <f>A115+1</f>
        <v>93</v>
      </c>
      <c r="B117" s="137" t="s">
        <v>418</v>
      </c>
      <c r="D117" s="157"/>
      <c r="E117" s="157"/>
      <c r="F117" s="188"/>
      <c r="G117" s="197"/>
      <c r="H117" s="159"/>
      <c r="I117" s="157"/>
      <c r="J117" s="157"/>
      <c r="K117" s="157"/>
      <c r="L117" s="157"/>
      <c r="M117" s="157"/>
      <c r="N117" s="157"/>
      <c r="O117" s="157"/>
      <c r="P117" s="157"/>
      <c r="Q117" s="157"/>
      <c r="R117" s="157"/>
      <c r="S117" s="157"/>
      <c r="T117" s="157"/>
      <c r="U117" s="157"/>
      <c r="V117" s="157"/>
      <c r="W117" s="157"/>
      <c r="X117" s="157"/>
      <c r="Y117" s="157"/>
      <c r="Z117" s="157"/>
      <c r="AA117" s="157"/>
      <c r="AB117" s="157"/>
      <c r="AC117" s="157"/>
    </row>
    <row r="118" spans="1:29" s="136" customFormat="1">
      <c r="A118" s="149">
        <f>A117+1</f>
        <v>94</v>
      </c>
      <c r="B118" s="162" t="s">
        <v>419</v>
      </c>
      <c r="C118" s="155" t="s">
        <v>671</v>
      </c>
      <c r="D118" s="206">
        <v>134</v>
      </c>
      <c r="E118" s="157"/>
      <c r="F118" s="151"/>
      <c r="G118" s="152"/>
      <c r="H118" s="159"/>
      <c r="I118" s="157"/>
      <c r="J118" s="157"/>
      <c r="K118" s="157"/>
      <c r="L118" s="157"/>
      <c r="M118" s="157"/>
      <c r="N118" s="157"/>
      <c r="O118" s="157"/>
      <c r="P118" s="157"/>
      <c r="Q118" s="157"/>
      <c r="R118" s="157"/>
      <c r="S118" s="157"/>
      <c r="T118" s="157"/>
      <c r="U118" s="157"/>
      <c r="V118" s="157"/>
      <c r="W118" s="157"/>
      <c r="X118" s="157"/>
      <c r="Y118" s="157"/>
      <c r="Z118" s="157"/>
      <c r="AA118" s="157"/>
      <c r="AB118" s="157"/>
      <c r="AC118" s="157"/>
    </row>
    <row r="119" spans="1:29" s="136" customFormat="1">
      <c r="A119" s="149">
        <f>A118+1</f>
        <v>95</v>
      </c>
      <c r="B119" s="156" t="s">
        <v>420</v>
      </c>
      <c r="C119" s="137" t="s">
        <v>687</v>
      </c>
      <c r="D119" s="208">
        <v>0</v>
      </c>
      <c r="E119" s="157"/>
      <c r="F119" s="151"/>
      <c r="G119" s="152"/>
      <c r="H119" s="159"/>
      <c r="I119" s="157"/>
      <c r="J119" s="157"/>
      <c r="K119" s="157"/>
      <c r="L119" s="157"/>
      <c r="M119" s="157"/>
      <c r="N119" s="157"/>
      <c r="O119" s="157"/>
      <c r="P119" s="157"/>
      <c r="Q119" s="157"/>
      <c r="R119" s="157"/>
      <c r="S119" s="157"/>
      <c r="T119" s="157"/>
      <c r="U119" s="157"/>
      <c r="V119" s="157"/>
      <c r="W119" s="157"/>
      <c r="X119" s="157"/>
      <c r="Y119" s="157"/>
      <c r="Z119" s="157"/>
      <c r="AA119" s="157"/>
      <c r="AB119" s="157"/>
      <c r="AC119" s="157"/>
    </row>
    <row r="120" spans="1:29" s="136" customFormat="1">
      <c r="A120" s="149">
        <f>A119+1</f>
        <v>96</v>
      </c>
      <c r="B120" s="166" t="s">
        <v>421</v>
      </c>
      <c r="C120" s="137" t="str">
        <f>"Ln"&amp;A118&amp;" + "&amp;"Ln"&amp;A119&amp;""</f>
        <v>Ln94 + Ln95</v>
      </c>
      <c r="D120" s="157">
        <f>SUM(D118:D119)</f>
        <v>134</v>
      </c>
      <c r="E120" s="157"/>
      <c r="F120" s="139"/>
      <c r="G120" s="140"/>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row>
    <row r="121" spans="1:29" s="136" customFormat="1">
      <c r="A121" s="149">
        <f>A120+1</f>
        <v>97</v>
      </c>
      <c r="B121" s="171" t="s">
        <v>326</v>
      </c>
      <c r="C121" s="198">
        <v>356.1</v>
      </c>
      <c r="D121" s="157">
        <v>0</v>
      </c>
      <c r="E121" s="157"/>
      <c r="F121" s="185"/>
      <c r="G121" s="186"/>
      <c r="H121" s="159"/>
      <c r="I121" s="159"/>
      <c r="J121" s="157"/>
      <c r="K121" s="157"/>
      <c r="L121" s="157"/>
      <c r="M121" s="157"/>
      <c r="N121" s="157"/>
      <c r="O121" s="157"/>
      <c r="P121" s="157"/>
      <c r="Q121" s="157"/>
      <c r="R121" s="157"/>
      <c r="S121" s="157"/>
      <c r="T121" s="157"/>
      <c r="U121" s="157"/>
      <c r="V121" s="157"/>
      <c r="W121" s="157"/>
      <c r="X121" s="157"/>
      <c r="Y121" s="157"/>
      <c r="Z121" s="157"/>
      <c r="AA121" s="157"/>
      <c r="AB121" s="157"/>
      <c r="AC121" s="157"/>
    </row>
    <row r="122" spans="1:29" s="136" customFormat="1">
      <c r="A122" s="149">
        <f>A121+1</f>
        <v>98</v>
      </c>
      <c r="B122" s="171" t="s">
        <v>422</v>
      </c>
      <c r="C122" s="198"/>
      <c r="D122" s="157">
        <v>0</v>
      </c>
      <c r="E122" s="157"/>
      <c r="F122" s="188"/>
      <c r="G122" s="186"/>
      <c r="H122" s="159"/>
      <c r="I122" s="159"/>
      <c r="J122" s="157"/>
      <c r="K122" s="157"/>
      <c r="L122" s="157"/>
      <c r="M122" s="157"/>
      <c r="N122" s="157"/>
      <c r="O122" s="157"/>
      <c r="P122" s="157"/>
      <c r="Q122" s="157"/>
      <c r="R122" s="157"/>
      <c r="S122" s="157"/>
      <c r="T122" s="157"/>
      <c r="U122" s="157"/>
      <c r="V122" s="157"/>
      <c r="W122" s="157"/>
      <c r="X122" s="157"/>
      <c r="Y122" s="157"/>
      <c r="Z122" s="157"/>
      <c r="AA122" s="157"/>
      <c r="AB122" s="157"/>
      <c r="AC122" s="157"/>
    </row>
    <row r="123" spans="1:29" s="136" customFormat="1" ht="4.5" customHeight="1">
      <c r="A123" s="149"/>
      <c r="B123" s="155"/>
      <c r="C123" s="137"/>
      <c r="D123" s="157"/>
      <c r="E123" s="157"/>
      <c r="F123" s="188"/>
      <c r="G123" s="197"/>
      <c r="H123" s="159"/>
      <c r="I123" s="157"/>
      <c r="J123" s="157"/>
      <c r="K123" s="157"/>
      <c r="L123" s="157"/>
      <c r="M123" s="157"/>
      <c r="N123" s="157"/>
      <c r="O123" s="157"/>
      <c r="P123" s="157"/>
      <c r="Q123" s="157"/>
      <c r="R123" s="157"/>
      <c r="S123" s="157"/>
      <c r="T123" s="157"/>
      <c r="U123" s="157"/>
      <c r="V123" s="157"/>
      <c r="W123" s="157"/>
      <c r="X123" s="157"/>
      <c r="Y123" s="157"/>
      <c r="Z123" s="157"/>
      <c r="AA123" s="157"/>
      <c r="AB123" s="157"/>
      <c r="AC123" s="157"/>
    </row>
    <row r="124" spans="1:29">
      <c r="A124" s="149">
        <f>A122+1</f>
        <v>99</v>
      </c>
      <c r="B124" s="155" t="s">
        <v>423</v>
      </c>
      <c r="D124" s="157"/>
      <c r="E124" s="157"/>
      <c r="F124" s="187"/>
      <c r="G124" s="184"/>
      <c r="H124" s="159"/>
      <c r="I124" s="159"/>
      <c r="J124" s="160"/>
      <c r="K124" s="160"/>
      <c r="L124" s="160"/>
      <c r="M124" s="160"/>
      <c r="N124" s="160"/>
      <c r="O124" s="160"/>
      <c r="P124" s="160"/>
      <c r="Q124" s="160"/>
      <c r="R124" s="160"/>
      <c r="S124" s="160"/>
      <c r="T124" s="160"/>
      <c r="U124" s="160"/>
      <c r="V124" s="160"/>
      <c r="W124" s="160"/>
      <c r="X124" s="160"/>
      <c r="Y124" s="160"/>
      <c r="Z124" s="160"/>
      <c r="AA124" s="160"/>
      <c r="AB124" s="160"/>
      <c r="AC124" s="160"/>
    </row>
    <row r="125" spans="1:29">
      <c r="A125" s="149">
        <f>A124+1</f>
        <v>100</v>
      </c>
      <c r="B125" s="171" t="s">
        <v>52</v>
      </c>
      <c r="C125" s="137" t="s">
        <v>424</v>
      </c>
      <c r="D125" s="206">
        <v>30224388</v>
      </c>
      <c r="E125" s="157"/>
      <c r="F125" s="187"/>
      <c r="G125" s="186"/>
      <c r="H125" s="159"/>
      <c r="I125" s="159"/>
      <c r="J125" s="160"/>
      <c r="K125" s="160"/>
      <c r="L125" s="160"/>
      <c r="M125" s="160"/>
      <c r="N125" s="160"/>
      <c r="O125" s="160"/>
      <c r="P125" s="160"/>
      <c r="Q125" s="160"/>
      <c r="R125" s="160"/>
      <c r="S125" s="160"/>
      <c r="T125" s="160"/>
      <c r="U125" s="160"/>
      <c r="V125" s="160"/>
      <c r="W125" s="160"/>
      <c r="X125" s="160"/>
      <c r="Y125" s="160"/>
      <c r="Z125" s="160"/>
      <c r="AA125" s="160"/>
      <c r="AB125" s="160"/>
      <c r="AC125" s="160"/>
    </row>
    <row r="126" spans="1:29">
      <c r="A126" s="149">
        <f>A125+1</f>
        <v>101</v>
      </c>
      <c r="B126" s="162" t="s">
        <v>55</v>
      </c>
      <c r="C126" s="155" t="s">
        <v>425</v>
      </c>
      <c r="D126" s="206">
        <v>15866365</v>
      </c>
      <c r="E126" s="157"/>
      <c r="F126" s="188"/>
      <c r="G126" s="186"/>
      <c r="H126" s="159"/>
      <c r="I126" s="159"/>
      <c r="J126" s="160"/>
      <c r="K126" s="160"/>
      <c r="L126" s="160"/>
      <c r="M126" s="160"/>
      <c r="N126" s="160"/>
      <c r="O126" s="160"/>
      <c r="P126" s="160"/>
      <c r="Q126" s="160"/>
      <c r="R126" s="160"/>
      <c r="S126" s="160"/>
      <c r="T126" s="160"/>
      <c r="U126" s="160"/>
      <c r="V126" s="160"/>
      <c r="W126" s="160"/>
      <c r="X126" s="160"/>
      <c r="Y126" s="160"/>
      <c r="Z126" s="160"/>
      <c r="AA126" s="160"/>
      <c r="AB126" s="160"/>
      <c r="AC126" s="160"/>
    </row>
    <row r="127" spans="1:29" s="136" customFormat="1">
      <c r="A127" s="149">
        <f>A126+1</f>
        <v>102</v>
      </c>
      <c r="B127" s="181" t="s">
        <v>388</v>
      </c>
      <c r="C127" s="155" t="s">
        <v>389</v>
      </c>
      <c r="D127" s="157">
        <f>'WP 15'!H54*-1</f>
        <v>416.78000000008615</v>
      </c>
      <c r="E127" s="157"/>
      <c r="F127" s="187"/>
      <c r="G127" s="152"/>
      <c r="H127" s="159"/>
      <c r="I127" s="157"/>
      <c r="J127" s="157"/>
      <c r="K127" s="157"/>
      <c r="L127" s="157"/>
      <c r="M127" s="157"/>
      <c r="N127" s="157"/>
      <c r="O127" s="157"/>
      <c r="P127" s="157"/>
      <c r="Q127" s="157"/>
      <c r="R127" s="157"/>
      <c r="S127" s="157"/>
      <c r="T127" s="157"/>
      <c r="U127" s="157"/>
      <c r="V127" s="157"/>
      <c r="W127" s="157"/>
      <c r="X127" s="157"/>
      <c r="Y127" s="157"/>
      <c r="Z127" s="157"/>
      <c r="AA127" s="157"/>
      <c r="AB127" s="157"/>
      <c r="AC127" s="157"/>
    </row>
    <row r="128" spans="1:29" s="136" customFormat="1">
      <c r="A128" s="149">
        <f>A127+1</f>
        <v>103</v>
      </c>
      <c r="B128" s="181" t="s">
        <v>390</v>
      </c>
      <c r="C128" s="155" t="s">
        <v>391</v>
      </c>
      <c r="D128" s="165">
        <f>'WP 16'!F17</f>
        <v>345848.32999999996</v>
      </c>
      <c r="E128" s="157"/>
      <c r="F128" s="151"/>
      <c r="G128" s="152"/>
      <c r="H128" s="159"/>
      <c r="I128" s="157"/>
      <c r="J128" s="157"/>
      <c r="K128" s="157"/>
      <c r="L128" s="157"/>
      <c r="M128" s="157"/>
      <c r="N128" s="157"/>
      <c r="O128" s="157"/>
      <c r="P128" s="157"/>
      <c r="Q128" s="157"/>
      <c r="R128" s="157"/>
      <c r="S128" s="157"/>
      <c r="T128" s="157"/>
      <c r="U128" s="157"/>
      <c r="V128" s="157"/>
      <c r="W128" s="157"/>
      <c r="X128" s="157"/>
      <c r="Y128" s="157"/>
      <c r="Z128" s="157"/>
      <c r="AA128" s="157"/>
      <c r="AB128" s="157"/>
      <c r="AC128" s="157"/>
    </row>
    <row r="129" spans="1:29">
      <c r="A129" s="149">
        <f t="shared" ref="A129:A131" si="5">A128+1</f>
        <v>104</v>
      </c>
      <c r="B129" s="162" t="s">
        <v>426</v>
      </c>
      <c r="C129" s="155" t="str">
        <f>"Ln"&amp;A126&amp;" - "&amp;"Ln"&amp;A127&amp;" - "&amp;"Ln"&amp;A128</f>
        <v>Ln101 - Ln102 - Ln103</v>
      </c>
      <c r="D129" s="157">
        <f>D126-D127-D128</f>
        <v>15520099.890000001</v>
      </c>
      <c r="E129" s="157"/>
      <c r="F129" s="188"/>
      <c r="G129" s="186"/>
      <c r="H129" s="159"/>
      <c r="I129" s="159"/>
      <c r="J129" s="160"/>
      <c r="K129" s="160"/>
      <c r="L129" s="160"/>
      <c r="M129" s="160"/>
      <c r="N129" s="160"/>
      <c r="O129" s="160"/>
      <c r="P129" s="160"/>
      <c r="Q129" s="160"/>
      <c r="R129" s="160"/>
      <c r="S129" s="160"/>
      <c r="T129" s="160"/>
      <c r="U129" s="160"/>
      <c r="V129" s="160"/>
      <c r="W129" s="160"/>
      <c r="X129" s="160"/>
      <c r="Y129" s="160"/>
      <c r="Z129" s="160"/>
      <c r="AA129" s="160"/>
      <c r="AB129" s="160"/>
      <c r="AC129" s="160"/>
    </row>
    <row r="130" spans="1:29">
      <c r="A130" s="149">
        <f t="shared" si="5"/>
        <v>105</v>
      </c>
      <c r="B130" s="162" t="s">
        <v>320</v>
      </c>
      <c r="C130" s="137" t="s">
        <v>427</v>
      </c>
      <c r="D130" s="208">
        <v>16381932</v>
      </c>
      <c r="E130" s="157"/>
      <c r="F130" s="188"/>
      <c r="G130" s="186"/>
      <c r="H130" s="159"/>
      <c r="I130" s="159"/>
      <c r="J130" s="160"/>
      <c r="K130" s="160"/>
      <c r="L130" s="160"/>
      <c r="M130" s="160"/>
      <c r="N130" s="160"/>
      <c r="O130" s="160"/>
      <c r="P130" s="160"/>
      <c r="Q130" s="160"/>
      <c r="R130" s="160"/>
      <c r="S130" s="160"/>
      <c r="T130" s="160"/>
      <c r="U130" s="160"/>
      <c r="V130" s="160"/>
      <c r="W130" s="160"/>
      <c r="X130" s="160"/>
      <c r="Y130" s="160"/>
      <c r="Z130" s="160"/>
      <c r="AA130" s="160"/>
      <c r="AB130" s="160"/>
      <c r="AC130" s="160"/>
    </row>
    <row r="131" spans="1:29">
      <c r="A131" s="149">
        <f t="shared" si="5"/>
        <v>106</v>
      </c>
      <c r="B131" s="166" t="s">
        <v>325</v>
      </c>
      <c r="C131" s="155" t="str">
        <f>"Ln"&amp;A129&amp;" + "&amp;"Ln"&amp;A130</f>
        <v>Ln104 + Ln105</v>
      </c>
      <c r="D131" s="157">
        <f>D129+D130</f>
        <v>31902031.890000001</v>
      </c>
      <c r="E131" s="157"/>
      <c r="F131" s="168"/>
      <c r="G131" s="186"/>
      <c r="H131" s="159"/>
      <c r="I131" s="159"/>
      <c r="J131" s="160"/>
      <c r="K131" s="160"/>
      <c r="L131" s="160"/>
      <c r="M131" s="160"/>
      <c r="N131" s="160"/>
      <c r="O131" s="160"/>
      <c r="P131" s="160"/>
      <c r="Q131" s="160"/>
      <c r="R131" s="160"/>
      <c r="S131" s="160"/>
      <c r="T131" s="160"/>
      <c r="U131" s="160"/>
      <c r="V131" s="160"/>
      <c r="W131" s="160"/>
      <c r="X131" s="160"/>
      <c r="Y131" s="160"/>
      <c r="Z131" s="160"/>
      <c r="AA131" s="160"/>
      <c r="AB131" s="160"/>
      <c r="AC131" s="160"/>
    </row>
    <row r="132" spans="1:29" ht="3" customHeight="1">
      <c r="A132" s="149"/>
      <c r="B132" s="171"/>
      <c r="D132" s="157"/>
      <c r="E132" s="157"/>
      <c r="F132" s="194"/>
      <c r="G132" s="184"/>
      <c r="H132" s="159"/>
      <c r="I132" s="159"/>
      <c r="J132" s="160"/>
      <c r="K132" s="160"/>
      <c r="L132" s="160"/>
      <c r="M132" s="160"/>
      <c r="N132" s="160"/>
      <c r="O132" s="160"/>
      <c r="P132" s="160"/>
      <c r="Q132" s="160"/>
      <c r="R132" s="160"/>
      <c r="S132" s="160"/>
      <c r="T132" s="160"/>
      <c r="U132" s="160"/>
      <c r="V132" s="160"/>
      <c r="W132" s="160"/>
      <c r="X132" s="160"/>
      <c r="Y132" s="160"/>
      <c r="Z132" s="160"/>
      <c r="AA132" s="160"/>
      <c r="AB132" s="160"/>
      <c r="AC132" s="160"/>
    </row>
    <row r="133" spans="1:29">
      <c r="A133" s="149">
        <f>A131+1</f>
        <v>107</v>
      </c>
      <c r="B133" s="171" t="s">
        <v>326</v>
      </c>
      <c r="C133" s="137" t="s">
        <v>428</v>
      </c>
      <c r="D133" s="206">
        <v>0</v>
      </c>
      <c r="E133" s="157"/>
      <c r="F133" s="188"/>
      <c r="G133" s="186"/>
      <c r="H133" s="159"/>
      <c r="I133" s="159"/>
      <c r="J133" s="160"/>
      <c r="K133" s="160"/>
      <c r="L133" s="160"/>
      <c r="M133" s="160"/>
      <c r="N133" s="160"/>
      <c r="O133" s="160"/>
      <c r="P133" s="160"/>
      <c r="Q133" s="160"/>
      <c r="R133" s="160"/>
      <c r="S133" s="160"/>
      <c r="T133" s="160"/>
      <c r="U133" s="160"/>
      <c r="V133" s="160"/>
      <c r="W133" s="160"/>
      <c r="X133" s="160"/>
      <c r="Y133" s="160"/>
      <c r="Z133" s="160"/>
      <c r="AA133" s="160"/>
      <c r="AB133" s="160"/>
      <c r="AC133" s="160"/>
    </row>
    <row r="134" spans="1:29" ht="3" customHeight="1">
      <c r="A134" s="149"/>
      <c r="D134" s="157"/>
      <c r="E134" s="157"/>
      <c r="F134" s="188"/>
      <c r="G134" s="186"/>
      <c r="H134" s="159"/>
      <c r="I134" s="159"/>
      <c r="J134" s="160"/>
      <c r="K134" s="160"/>
      <c r="L134" s="160"/>
      <c r="M134" s="160"/>
      <c r="N134" s="160"/>
      <c r="O134" s="160"/>
      <c r="P134" s="160"/>
      <c r="Q134" s="160"/>
      <c r="R134" s="160"/>
      <c r="S134" s="160"/>
      <c r="T134" s="160"/>
      <c r="U134" s="160"/>
      <c r="V134" s="160"/>
      <c r="W134" s="160"/>
      <c r="X134" s="160"/>
      <c r="Y134" s="160"/>
      <c r="Z134" s="160"/>
      <c r="AA134" s="160"/>
      <c r="AB134" s="160"/>
      <c r="AC134" s="160"/>
    </row>
    <row r="135" spans="1:29" s="136" customFormat="1">
      <c r="A135" s="149">
        <f>A133+1</f>
        <v>108</v>
      </c>
      <c r="B135" s="195" t="s">
        <v>429</v>
      </c>
      <c r="C135" s="155"/>
      <c r="D135" s="157"/>
      <c r="E135" s="157"/>
      <c r="F135" s="139"/>
      <c r="G135" s="140"/>
      <c r="H135" s="160"/>
      <c r="I135" s="157"/>
      <c r="J135" s="157"/>
      <c r="K135" s="157"/>
      <c r="L135" s="157"/>
      <c r="M135" s="157"/>
      <c r="N135" s="157"/>
      <c r="O135" s="157"/>
      <c r="P135" s="157"/>
      <c r="Q135" s="157"/>
      <c r="R135" s="157"/>
      <c r="S135" s="157"/>
      <c r="T135" s="157"/>
      <c r="U135" s="157"/>
      <c r="V135" s="157"/>
      <c r="W135" s="157"/>
      <c r="X135" s="157"/>
      <c r="Y135" s="157"/>
      <c r="Z135" s="157"/>
      <c r="AA135" s="157"/>
      <c r="AB135" s="157"/>
      <c r="AC135" s="157"/>
    </row>
    <row r="136" spans="1:29" s="136" customFormat="1">
      <c r="A136" s="149">
        <f>A135+1</f>
        <v>109</v>
      </c>
      <c r="B136" s="137" t="s">
        <v>430</v>
      </c>
      <c r="C136" s="137"/>
      <c r="D136" s="157"/>
      <c r="E136" s="157"/>
      <c r="F136" s="194"/>
      <c r="G136" s="184"/>
      <c r="H136" s="159"/>
      <c r="I136" s="159"/>
      <c r="J136" s="157"/>
      <c r="K136" s="157"/>
      <c r="L136" s="157"/>
      <c r="M136" s="157"/>
      <c r="N136" s="157"/>
      <c r="O136" s="157"/>
      <c r="P136" s="157"/>
      <c r="Q136" s="157"/>
      <c r="R136" s="157"/>
      <c r="S136" s="157"/>
      <c r="T136" s="157"/>
      <c r="U136" s="157"/>
      <c r="V136" s="157"/>
      <c r="W136" s="157"/>
      <c r="X136" s="157"/>
      <c r="Y136" s="157"/>
      <c r="Z136" s="157"/>
      <c r="AA136" s="157"/>
      <c r="AB136" s="157"/>
      <c r="AC136" s="157"/>
    </row>
    <row r="137" spans="1:29" s="136" customFormat="1">
      <c r="A137" s="149">
        <f t="shared" ref="A137:A170" si="6">A136+1</f>
        <v>110</v>
      </c>
      <c r="B137" s="162" t="s">
        <v>191</v>
      </c>
      <c r="C137" s="137"/>
      <c r="D137" s="157"/>
      <c r="E137" s="157"/>
      <c r="F137" s="185"/>
      <c r="G137" s="186"/>
      <c r="H137" s="159"/>
      <c r="I137" s="159"/>
      <c r="J137" s="157"/>
      <c r="K137" s="157"/>
      <c r="L137" s="157"/>
      <c r="M137" s="157"/>
      <c r="N137" s="157"/>
      <c r="O137" s="157"/>
      <c r="P137" s="157"/>
      <c r="Q137" s="157"/>
      <c r="R137" s="157"/>
      <c r="S137" s="157"/>
      <c r="T137" s="157"/>
      <c r="U137" s="157"/>
      <c r="V137" s="157"/>
      <c r="W137" s="157"/>
      <c r="X137" s="157"/>
      <c r="Y137" s="157"/>
      <c r="Z137" s="157"/>
      <c r="AA137" s="157"/>
      <c r="AB137" s="157"/>
      <c r="AC137" s="157"/>
    </row>
    <row r="138" spans="1:29" s="136" customFormat="1">
      <c r="A138" s="149">
        <f t="shared" si="6"/>
        <v>111</v>
      </c>
      <c r="B138" s="199" t="s">
        <v>431</v>
      </c>
      <c r="C138" s="137" t="s">
        <v>432</v>
      </c>
      <c r="D138" s="206">
        <v>3213755</v>
      </c>
      <c r="E138" s="157"/>
      <c r="F138" s="185"/>
      <c r="G138" s="186"/>
      <c r="H138" s="159"/>
      <c r="I138" s="159"/>
      <c r="J138" s="157"/>
      <c r="K138" s="157"/>
      <c r="L138" s="157"/>
      <c r="M138" s="157"/>
      <c r="N138" s="157"/>
      <c r="O138" s="157"/>
      <c r="P138" s="157"/>
      <c r="Q138" s="157"/>
      <c r="R138" s="157"/>
      <c r="S138" s="157"/>
      <c r="T138" s="157"/>
      <c r="U138" s="157"/>
      <c r="V138" s="157"/>
      <c r="W138" s="157"/>
      <c r="X138" s="157"/>
      <c r="Y138" s="157"/>
      <c r="Z138" s="157"/>
      <c r="AA138" s="157"/>
      <c r="AB138" s="157"/>
      <c r="AC138" s="157"/>
    </row>
    <row r="139" spans="1:29" s="136" customFormat="1">
      <c r="A139" s="149">
        <f t="shared" si="6"/>
        <v>112</v>
      </c>
      <c r="B139" s="199" t="s">
        <v>433</v>
      </c>
      <c r="C139" s="137" t="s">
        <v>434</v>
      </c>
      <c r="D139" s="207">
        <v>365</v>
      </c>
      <c r="E139" s="157"/>
      <c r="F139" s="185"/>
      <c r="G139" s="186"/>
      <c r="H139" s="159"/>
      <c r="I139" s="159"/>
      <c r="J139" s="157"/>
      <c r="K139" s="157"/>
      <c r="L139" s="157"/>
      <c r="M139" s="157"/>
      <c r="N139" s="157"/>
      <c r="O139" s="157"/>
      <c r="P139" s="157"/>
      <c r="Q139" s="157"/>
      <c r="R139" s="157"/>
      <c r="S139" s="157"/>
      <c r="T139" s="157"/>
      <c r="U139" s="157"/>
      <c r="V139" s="157"/>
      <c r="W139" s="157"/>
      <c r="X139" s="157"/>
      <c r="Y139" s="157"/>
      <c r="Z139" s="157"/>
      <c r="AA139" s="157"/>
      <c r="AB139" s="157"/>
      <c r="AC139" s="157"/>
    </row>
    <row r="140" spans="1:29" s="136" customFormat="1">
      <c r="A140" s="149">
        <f t="shared" si="6"/>
        <v>113</v>
      </c>
      <c r="B140" s="199" t="s">
        <v>435</v>
      </c>
      <c r="C140" s="137" t="s">
        <v>436</v>
      </c>
      <c r="D140" s="207">
        <v>108718</v>
      </c>
      <c r="E140" s="157"/>
      <c r="F140" s="185"/>
      <c r="G140" s="186"/>
      <c r="H140" s="159"/>
      <c r="I140" s="159"/>
      <c r="J140" s="157"/>
      <c r="K140" s="157"/>
      <c r="L140" s="157"/>
      <c r="M140" s="157"/>
      <c r="N140" s="157"/>
      <c r="O140" s="157"/>
      <c r="P140" s="157"/>
      <c r="Q140" s="157"/>
      <c r="R140" s="157"/>
      <c r="S140" s="157"/>
      <c r="T140" s="157"/>
      <c r="U140" s="157"/>
      <c r="V140" s="157"/>
      <c r="W140" s="157"/>
      <c r="X140" s="157"/>
      <c r="Y140" s="157"/>
      <c r="Z140" s="157"/>
      <c r="AA140" s="157"/>
      <c r="AB140" s="157"/>
      <c r="AC140" s="157"/>
    </row>
    <row r="141" spans="1:29" s="136" customFormat="1">
      <c r="A141" s="149">
        <f t="shared" si="6"/>
        <v>114</v>
      </c>
      <c r="B141" s="200" t="s">
        <v>437</v>
      </c>
      <c r="C141" s="137" t="s">
        <v>438</v>
      </c>
      <c r="D141" s="157">
        <f>'WP 12'!C11</f>
        <v>10162141.65</v>
      </c>
      <c r="E141" s="157"/>
      <c r="F141" s="187"/>
      <c r="G141" s="186"/>
      <c r="H141" s="159"/>
      <c r="I141" s="159"/>
      <c r="J141" s="157"/>
      <c r="K141" s="157"/>
      <c r="L141" s="157"/>
      <c r="M141" s="157"/>
      <c r="N141" s="157"/>
      <c r="O141" s="157"/>
      <c r="P141" s="157"/>
      <c r="Q141" s="157"/>
      <c r="R141" s="157"/>
      <c r="S141" s="157"/>
      <c r="T141" s="157"/>
      <c r="U141" s="157"/>
      <c r="V141" s="157"/>
      <c r="W141" s="157"/>
      <c r="X141" s="157"/>
      <c r="Y141" s="157"/>
      <c r="Z141" s="157"/>
      <c r="AA141" s="157"/>
      <c r="AB141" s="157"/>
      <c r="AC141" s="157"/>
    </row>
    <row r="142" spans="1:29" s="136" customFormat="1">
      <c r="A142" s="149">
        <f t="shared" si="6"/>
        <v>115</v>
      </c>
      <c r="B142" s="200" t="s">
        <v>388</v>
      </c>
      <c r="C142" s="155" t="s">
        <v>389</v>
      </c>
      <c r="D142" s="157">
        <f>'WP 15'!H55</f>
        <v>-20342.879999999888</v>
      </c>
      <c r="E142" s="157"/>
      <c r="F142" s="187"/>
      <c r="G142" s="186"/>
      <c r="H142" s="159"/>
      <c r="I142" s="159"/>
      <c r="J142" s="157"/>
      <c r="K142" s="157"/>
      <c r="L142" s="157"/>
      <c r="M142" s="157"/>
      <c r="N142" s="157"/>
      <c r="O142" s="157"/>
      <c r="P142" s="157"/>
      <c r="Q142" s="157"/>
      <c r="R142" s="157"/>
      <c r="S142" s="157"/>
      <c r="T142" s="157"/>
      <c r="U142" s="157"/>
      <c r="V142" s="157"/>
      <c r="W142" s="157"/>
      <c r="X142" s="157"/>
      <c r="Y142" s="157"/>
      <c r="Z142" s="157"/>
      <c r="AA142" s="157"/>
      <c r="AB142" s="157"/>
      <c r="AC142" s="157"/>
    </row>
    <row r="143" spans="1:29" s="136" customFormat="1">
      <c r="A143" s="149">
        <f t="shared" si="6"/>
        <v>116</v>
      </c>
      <c r="B143" s="200" t="s">
        <v>390</v>
      </c>
      <c r="C143" s="155" t="s">
        <v>391</v>
      </c>
      <c r="D143" s="159">
        <f>-'WP 16'!F19</f>
        <v>-155981.90000000002</v>
      </c>
      <c r="E143" s="193"/>
      <c r="F143" s="185"/>
      <c r="G143" s="186"/>
      <c r="H143" s="159"/>
      <c r="I143" s="159"/>
      <c r="J143" s="157"/>
      <c r="K143" s="157"/>
      <c r="L143" s="157"/>
      <c r="M143" s="157"/>
      <c r="N143" s="157"/>
      <c r="O143" s="157"/>
      <c r="P143" s="157"/>
      <c r="Q143" s="157"/>
      <c r="R143" s="157"/>
      <c r="S143" s="157"/>
      <c r="T143" s="157"/>
      <c r="U143" s="157"/>
      <c r="V143" s="157"/>
      <c r="W143" s="157"/>
      <c r="X143" s="157"/>
      <c r="Y143" s="157"/>
      <c r="Z143" s="157"/>
      <c r="AA143" s="157"/>
      <c r="AB143" s="157"/>
      <c r="AC143" s="157"/>
    </row>
    <row r="144" spans="1:29" s="136" customFormat="1">
      <c r="A144" s="149">
        <f t="shared" si="6"/>
        <v>117</v>
      </c>
      <c r="B144" s="200" t="s">
        <v>756</v>
      </c>
      <c r="C144" s="155" t="s">
        <v>757</v>
      </c>
      <c r="D144" s="165">
        <f>+'WP 18'!C18</f>
        <v>728528.67</v>
      </c>
      <c r="E144" s="193"/>
      <c r="F144" s="185"/>
      <c r="G144" s="186"/>
      <c r="H144" s="159"/>
      <c r="I144" s="159"/>
      <c r="J144" s="157"/>
      <c r="K144" s="157"/>
      <c r="L144" s="157"/>
      <c r="M144" s="157"/>
      <c r="N144" s="157"/>
      <c r="O144" s="157"/>
      <c r="P144" s="157"/>
      <c r="Q144" s="157"/>
      <c r="R144" s="157"/>
      <c r="S144" s="157"/>
      <c r="T144" s="157"/>
      <c r="U144" s="157"/>
      <c r="V144" s="157"/>
      <c r="W144" s="157"/>
      <c r="X144" s="157"/>
      <c r="Y144" s="157"/>
      <c r="Z144" s="157"/>
      <c r="AA144" s="157"/>
      <c r="AB144" s="157"/>
      <c r="AC144" s="157"/>
    </row>
    <row r="145" spans="1:29" s="136" customFormat="1">
      <c r="A145" s="149">
        <f t="shared" si="6"/>
        <v>118</v>
      </c>
      <c r="B145" s="171" t="s">
        <v>439</v>
      </c>
      <c r="C145" s="137" t="str">
        <f>"Sum (Ln"&amp;A138&amp;" - Ln"&amp;A144&amp;")"</f>
        <v>Sum (Ln111 - Ln117)</v>
      </c>
      <c r="D145" s="157">
        <f>SUM(D138:D144)</f>
        <v>14037183.539999999</v>
      </c>
      <c r="E145" s="187"/>
      <c r="F145" s="187"/>
      <c r="G145" s="186"/>
      <c r="H145" s="159"/>
      <c r="I145" s="159"/>
      <c r="J145" s="157"/>
      <c r="K145" s="157"/>
      <c r="L145" s="157"/>
      <c r="M145" s="157"/>
      <c r="N145" s="157"/>
      <c r="O145" s="157"/>
      <c r="P145" s="157"/>
      <c r="Q145" s="157"/>
      <c r="R145" s="157"/>
      <c r="S145" s="157"/>
      <c r="T145" s="157"/>
      <c r="U145" s="157"/>
      <c r="V145" s="157"/>
      <c r="W145" s="157"/>
      <c r="X145" s="157"/>
      <c r="Y145" s="157"/>
      <c r="Z145" s="157"/>
      <c r="AA145" s="157"/>
      <c r="AB145" s="157"/>
      <c r="AC145" s="157"/>
    </row>
    <row r="146" spans="1:29" s="136" customFormat="1">
      <c r="A146" s="149">
        <f t="shared" si="6"/>
        <v>119</v>
      </c>
      <c r="B146" s="171" t="s">
        <v>440</v>
      </c>
      <c r="C146" s="137" t="s">
        <v>441</v>
      </c>
      <c r="D146" s="157">
        <v>0</v>
      </c>
      <c r="E146" s="187"/>
      <c r="F146" s="187"/>
      <c r="G146" s="186"/>
      <c r="H146" s="159"/>
      <c r="I146" s="159"/>
      <c r="J146" s="157"/>
      <c r="K146" s="157"/>
      <c r="L146" s="157"/>
      <c r="M146" s="157"/>
      <c r="N146" s="157"/>
      <c r="O146" s="157"/>
      <c r="P146" s="157"/>
      <c r="Q146" s="157"/>
      <c r="R146" s="157"/>
      <c r="S146" s="157"/>
      <c r="T146" s="157"/>
      <c r="U146" s="157"/>
      <c r="V146" s="157"/>
      <c r="W146" s="157"/>
      <c r="X146" s="157"/>
      <c r="Y146" s="157"/>
      <c r="Z146" s="157"/>
      <c r="AA146" s="157"/>
      <c r="AB146" s="157"/>
      <c r="AC146" s="157"/>
    </row>
    <row r="147" spans="1:29" s="136" customFormat="1">
      <c r="A147" s="149">
        <f t="shared" si="6"/>
        <v>120</v>
      </c>
      <c r="B147" s="137" t="s">
        <v>442</v>
      </c>
      <c r="C147" s="137"/>
      <c r="D147" s="157"/>
      <c r="E147" s="187"/>
      <c r="F147" s="187"/>
      <c r="G147" s="186"/>
      <c r="H147" s="159"/>
      <c r="I147" s="159"/>
      <c r="J147" s="157"/>
      <c r="K147" s="157"/>
      <c r="L147" s="157"/>
      <c r="M147" s="157"/>
      <c r="N147" s="157"/>
      <c r="O147" s="157"/>
      <c r="P147" s="157"/>
      <c r="Q147" s="157"/>
      <c r="R147" s="157"/>
      <c r="S147" s="157"/>
      <c r="T147" s="157"/>
      <c r="U147" s="157"/>
      <c r="V147" s="157"/>
      <c r="W147" s="157"/>
      <c r="X147" s="157"/>
      <c r="Y147" s="157"/>
      <c r="Z147" s="157"/>
      <c r="AA147" s="157"/>
      <c r="AB147" s="157"/>
      <c r="AC147" s="157"/>
    </row>
    <row r="148" spans="1:29" s="136" customFormat="1">
      <c r="A148" s="149">
        <f t="shared" si="6"/>
        <v>121</v>
      </c>
      <c r="B148" s="156" t="s">
        <v>443</v>
      </c>
      <c r="C148" s="137"/>
      <c r="D148" s="157"/>
      <c r="E148" s="157"/>
      <c r="F148" s="168"/>
      <c r="G148" s="186"/>
      <c r="H148" s="159"/>
      <c r="I148" s="159"/>
      <c r="J148" s="157"/>
      <c r="K148" s="157"/>
      <c r="L148" s="157"/>
      <c r="M148" s="157"/>
      <c r="N148" s="157"/>
      <c r="O148" s="157"/>
      <c r="P148" s="157"/>
      <c r="Q148" s="157"/>
      <c r="R148" s="157"/>
      <c r="S148" s="157"/>
      <c r="T148" s="157"/>
      <c r="U148" s="157"/>
      <c r="V148" s="157"/>
      <c r="W148" s="157"/>
      <c r="X148" s="157"/>
      <c r="Y148" s="157"/>
      <c r="Z148" s="157"/>
      <c r="AA148" s="157"/>
      <c r="AB148" s="157"/>
      <c r="AC148" s="157"/>
    </row>
    <row r="149" spans="1:29" s="136" customFormat="1">
      <c r="A149" s="149">
        <f t="shared" si="6"/>
        <v>122</v>
      </c>
      <c r="B149" s="199" t="s">
        <v>444</v>
      </c>
      <c r="C149" s="137" t="s">
        <v>445</v>
      </c>
      <c r="D149" s="207">
        <v>32225840</v>
      </c>
      <c r="E149" s="157"/>
      <c r="F149" s="168"/>
      <c r="G149" s="186"/>
      <c r="H149" s="159"/>
      <c r="I149" s="159"/>
      <c r="J149" s="157"/>
      <c r="K149" s="157"/>
      <c r="L149" s="157"/>
      <c r="M149" s="157"/>
      <c r="N149" s="157"/>
      <c r="O149" s="157"/>
      <c r="P149" s="157"/>
      <c r="Q149" s="157"/>
      <c r="R149" s="157"/>
      <c r="S149" s="157"/>
      <c r="T149" s="157"/>
      <c r="U149" s="157"/>
      <c r="V149" s="157"/>
      <c r="W149" s="157"/>
      <c r="X149" s="157"/>
      <c r="Y149" s="157"/>
      <c r="Z149" s="157"/>
      <c r="AA149" s="157"/>
      <c r="AB149" s="157"/>
      <c r="AC149" s="157"/>
    </row>
    <row r="150" spans="1:29" s="136" customFormat="1">
      <c r="A150" s="149">
        <f t="shared" si="6"/>
        <v>123</v>
      </c>
      <c r="B150" s="199" t="s">
        <v>446</v>
      </c>
      <c r="C150" s="137" t="s">
        <v>438</v>
      </c>
      <c r="D150" s="165">
        <f>'WP 12'!C14</f>
        <v>728350.81</v>
      </c>
      <c r="E150" s="157"/>
      <c r="F150" s="187"/>
      <c r="G150" s="186"/>
      <c r="H150" s="159"/>
      <c r="I150" s="159"/>
      <c r="J150" s="157"/>
      <c r="K150" s="157"/>
      <c r="L150" s="157"/>
      <c r="M150" s="157"/>
      <c r="N150" s="157"/>
      <c r="O150" s="157"/>
      <c r="P150" s="157"/>
      <c r="Q150" s="157"/>
      <c r="R150" s="157"/>
      <c r="S150" s="157"/>
      <c r="T150" s="157"/>
      <c r="U150" s="157"/>
      <c r="V150" s="157"/>
      <c r="W150" s="157"/>
      <c r="X150" s="157"/>
      <c r="Y150" s="157"/>
      <c r="Z150" s="157"/>
      <c r="AA150" s="157"/>
      <c r="AB150" s="157"/>
      <c r="AC150" s="157"/>
    </row>
    <row r="151" spans="1:29" s="136" customFormat="1">
      <c r="A151" s="149">
        <f t="shared" si="6"/>
        <v>124</v>
      </c>
      <c r="B151" s="171" t="s">
        <v>447</v>
      </c>
      <c r="C151" s="155" t="str">
        <f>"Ln"&amp;A149&amp;" + "&amp;"Ln"&amp;A150</f>
        <v>Ln122 + Ln123</v>
      </c>
      <c r="D151" s="157">
        <f>D149+D150</f>
        <v>32954190.809999999</v>
      </c>
      <c r="E151" s="157"/>
      <c r="F151" s="168"/>
      <c r="G151" s="186"/>
      <c r="H151" s="159"/>
      <c r="I151" s="159"/>
      <c r="J151" s="157"/>
      <c r="K151" s="157"/>
      <c r="L151" s="157"/>
      <c r="M151" s="157"/>
      <c r="N151" s="157"/>
      <c r="O151" s="157"/>
      <c r="P151" s="157"/>
      <c r="Q151" s="157"/>
      <c r="R151" s="157"/>
      <c r="S151" s="157"/>
      <c r="T151" s="157"/>
      <c r="U151" s="157"/>
      <c r="V151" s="157"/>
      <c r="W151" s="157"/>
      <c r="X151" s="157"/>
      <c r="Y151" s="157"/>
      <c r="Z151" s="157"/>
      <c r="AA151" s="157"/>
      <c r="AB151" s="157"/>
      <c r="AC151" s="157"/>
    </row>
    <row r="152" spans="1:29" s="136" customFormat="1">
      <c r="A152" s="149">
        <f t="shared" si="6"/>
        <v>125</v>
      </c>
      <c r="B152" s="156" t="s">
        <v>448</v>
      </c>
      <c r="C152" s="137"/>
      <c r="D152" s="157"/>
      <c r="E152" s="157"/>
      <c r="F152" s="185"/>
      <c r="G152" s="186"/>
      <c r="H152" s="159"/>
      <c r="I152" s="159"/>
      <c r="J152" s="157"/>
      <c r="K152" s="157"/>
      <c r="L152" s="157"/>
      <c r="M152" s="157"/>
      <c r="N152" s="157"/>
      <c r="O152" s="157"/>
      <c r="P152" s="157"/>
      <c r="Q152" s="157"/>
      <c r="R152" s="157"/>
      <c r="S152" s="157"/>
      <c r="T152" s="157"/>
      <c r="U152" s="157"/>
      <c r="V152" s="157"/>
      <c r="W152" s="157"/>
      <c r="X152" s="157"/>
      <c r="Y152" s="157"/>
      <c r="Z152" s="157"/>
      <c r="AA152" s="157"/>
      <c r="AB152" s="157"/>
      <c r="AC152" s="157"/>
    </row>
    <row r="153" spans="1:29" s="136" customFormat="1">
      <c r="A153" s="149">
        <f>A152+1</f>
        <v>126</v>
      </c>
      <c r="B153" s="199" t="s">
        <v>449</v>
      </c>
      <c r="C153" s="137" t="s">
        <v>450</v>
      </c>
      <c r="D153" s="206">
        <v>46093</v>
      </c>
      <c r="E153" s="157"/>
      <c r="F153" s="168"/>
      <c r="G153" s="186"/>
      <c r="H153" s="159"/>
      <c r="I153" s="159"/>
      <c r="J153" s="157"/>
      <c r="K153" s="157"/>
      <c r="L153" s="157"/>
      <c r="M153" s="157"/>
      <c r="N153" s="157"/>
      <c r="O153" s="157"/>
      <c r="P153" s="157"/>
      <c r="Q153" s="157"/>
      <c r="R153" s="157"/>
      <c r="S153" s="157"/>
      <c r="T153" s="157"/>
      <c r="U153" s="157"/>
      <c r="V153" s="157"/>
      <c r="W153" s="157"/>
      <c r="X153" s="157"/>
      <c r="Y153" s="157"/>
      <c r="Z153" s="157"/>
      <c r="AA153" s="157"/>
      <c r="AB153" s="157"/>
      <c r="AC153" s="157"/>
    </row>
    <row r="154" spans="1:29" s="136" customFormat="1">
      <c r="A154" s="149">
        <f t="shared" si="6"/>
        <v>127</v>
      </c>
      <c r="B154" s="199" t="s">
        <v>451</v>
      </c>
      <c r="C154" s="137" t="s">
        <v>452</v>
      </c>
      <c r="D154" s="207">
        <v>116731</v>
      </c>
      <c r="E154" s="157"/>
      <c r="F154" s="139"/>
      <c r="G154" s="140"/>
      <c r="H154" s="160"/>
      <c r="I154" s="157"/>
      <c r="J154" s="157"/>
      <c r="K154" s="157"/>
      <c r="L154" s="157"/>
      <c r="M154" s="157"/>
      <c r="N154" s="157"/>
      <c r="O154" s="157"/>
      <c r="P154" s="157"/>
      <c r="Q154" s="157"/>
      <c r="R154" s="157"/>
      <c r="S154" s="157"/>
      <c r="T154" s="157"/>
      <c r="U154" s="157"/>
      <c r="V154" s="157"/>
      <c r="W154" s="157"/>
      <c r="X154" s="157"/>
      <c r="Y154" s="157"/>
      <c r="Z154" s="157"/>
      <c r="AA154" s="157"/>
      <c r="AB154" s="157"/>
      <c r="AC154" s="157"/>
    </row>
    <row r="155" spans="1:29" s="136" customFormat="1">
      <c r="A155" s="149">
        <f t="shared" si="6"/>
        <v>128</v>
      </c>
      <c r="B155" s="199" t="s">
        <v>453</v>
      </c>
      <c r="C155" s="137" t="s">
        <v>454</v>
      </c>
      <c r="D155" s="207">
        <v>0</v>
      </c>
      <c r="E155" s="157"/>
      <c r="F155" s="139"/>
      <c r="G155" s="140"/>
      <c r="H155" s="160"/>
      <c r="I155" s="157"/>
      <c r="J155" s="157"/>
      <c r="K155" s="157"/>
      <c r="L155" s="157"/>
      <c r="M155" s="157"/>
      <c r="N155" s="157"/>
      <c r="O155" s="157"/>
      <c r="P155" s="157"/>
      <c r="Q155" s="157"/>
      <c r="R155" s="157"/>
      <c r="S155" s="157"/>
      <c r="T155" s="157"/>
      <c r="U155" s="157"/>
      <c r="V155" s="157"/>
      <c r="W155" s="157"/>
      <c r="X155" s="157"/>
      <c r="Y155" s="157"/>
      <c r="Z155" s="157"/>
      <c r="AA155" s="157"/>
      <c r="AB155" s="157"/>
      <c r="AC155" s="157"/>
    </row>
    <row r="156" spans="1:29" s="136" customFormat="1">
      <c r="A156" s="149">
        <f t="shared" si="6"/>
        <v>129</v>
      </c>
      <c r="B156" s="199" t="s">
        <v>455</v>
      </c>
      <c r="C156" s="137" t="s">
        <v>456</v>
      </c>
      <c r="D156" s="208">
        <v>38776813</v>
      </c>
      <c r="E156" s="157"/>
      <c r="F156" s="139"/>
      <c r="G156" s="140"/>
      <c r="H156" s="160"/>
      <c r="I156" s="157"/>
      <c r="J156" s="157"/>
      <c r="K156" s="157"/>
      <c r="L156" s="157"/>
      <c r="M156" s="157"/>
      <c r="N156" s="157"/>
      <c r="O156" s="157"/>
      <c r="P156" s="157"/>
      <c r="Q156" s="157"/>
      <c r="R156" s="157"/>
      <c r="S156" s="157"/>
      <c r="T156" s="157"/>
      <c r="U156" s="157"/>
      <c r="V156" s="157"/>
      <c r="W156" s="157"/>
      <c r="X156" s="157"/>
      <c r="Y156" s="157"/>
      <c r="Z156" s="157"/>
      <c r="AA156" s="157"/>
      <c r="AB156" s="157"/>
      <c r="AC156" s="157"/>
    </row>
    <row r="157" spans="1:29" s="136" customFormat="1">
      <c r="A157" s="149">
        <f t="shared" si="6"/>
        <v>130</v>
      </c>
      <c r="B157" s="171" t="s">
        <v>457</v>
      </c>
      <c r="C157" s="137" t="str">
        <f>"Sum (Ln"&amp;A153&amp;" - Ln"&amp;A156&amp;")"</f>
        <v>Sum (Ln126 - Ln129)</v>
      </c>
      <c r="D157" s="157">
        <f>SUM(D153:D156)</f>
        <v>38939637</v>
      </c>
      <c r="E157" s="157"/>
      <c r="F157" s="148"/>
      <c r="G157" s="140"/>
      <c r="H157" s="160"/>
      <c r="I157" s="157"/>
      <c r="J157" s="157"/>
      <c r="K157" s="157"/>
      <c r="L157" s="157"/>
      <c r="M157" s="157"/>
      <c r="N157" s="157"/>
      <c r="O157" s="157"/>
      <c r="P157" s="157"/>
      <c r="Q157" s="157"/>
      <c r="R157" s="157"/>
      <c r="S157" s="157"/>
      <c r="T157" s="157"/>
      <c r="U157" s="157"/>
      <c r="V157" s="157"/>
      <c r="W157" s="157"/>
      <c r="X157" s="157"/>
      <c r="Y157" s="157"/>
      <c r="Z157" s="157"/>
      <c r="AA157" s="157"/>
      <c r="AB157" s="157"/>
      <c r="AC157" s="157"/>
    </row>
    <row r="158" spans="1:29" s="136" customFormat="1">
      <c r="A158" s="149">
        <f t="shared" si="6"/>
        <v>131</v>
      </c>
      <c r="B158" s="156" t="s">
        <v>458</v>
      </c>
      <c r="D158" s="157"/>
      <c r="E158" s="157"/>
      <c r="F158" s="185"/>
      <c r="G158" s="184"/>
      <c r="H158" s="159"/>
      <c r="I158" s="157"/>
      <c r="J158" s="157"/>
      <c r="K158" s="157"/>
      <c r="L158" s="157"/>
      <c r="M158" s="157"/>
      <c r="N158" s="157"/>
      <c r="O158" s="157"/>
      <c r="P158" s="157"/>
      <c r="Q158" s="157"/>
      <c r="R158" s="157"/>
      <c r="S158" s="157"/>
      <c r="T158" s="157"/>
      <c r="U158" s="157"/>
      <c r="V158" s="157"/>
      <c r="W158" s="157"/>
      <c r="X158" s="157"/>
      <c r="Y158" s="157"/>
      <c r="Z158" s="157"/>
      <c r="AA158" s="157"/>
      <c r="AB158" s="157"/>
      <c r="AC158" s="157"/>
    </row>
    <row r="159" spans="1:29" s="136" customFormat="1">
      <c r="A159" s="149">
        <f t="shared" si="6"/>
        <v>132</v>
      </c>
      <c r="B159" s="199" t="s">
        <v>459</v>
      </c>
      <c r="C159" s="195" t="s">
        <v>438</v>
      </c>
      <c r="D159" s="157">
        <f>'WP 12'!C12</f>
        <v>199.54000000000002</v>
      </c>
      <c r="E159" s="157"/>
      <c r="F159" s="187"/>
      <c r="G159" s="184"/>
      <c r="H159" s="159"/>
      <c r="I159" s="157"/>
      <c r="J159" s="157"/>
      <c r="K159" s="157"/>
      <c r="L159" s="157"/>
      <c r="M159" s="157"/>
      <c r="N159" s="157"/>
      <c r="O159" s="157"/>
      <c r="P159" s="157"/>
      <c r="Q159" s="157"/>
      <c r="R159" s="157"/>
      <c r="S159" s="157"/>
      <c r="T159" s="157"/>
      <c r="U159" s="157"/>
      <c r="V159" s="157"/>
      <c r="W159" s="157"/>
      <c r="X159" s="157"/>
      <c r="Y159" s="157"/>
      <c r="Z159" s="157"/>
      <c r="AA159" s="157"/>
      <c r="AB159" s="157"/>
      <c r="AC159" s="157"/>
    </row>
    <row r="160" spans="1:29" s="136" customFormat="1">
      <c r="A160" s="149">
        <f t="shared" si="6"/>
        <v>133</v>
      </c>
      <c r="B160" s="199" t="s">
        <v>683</v>
      </c>
      <c r="C160" s="195" t="s">
        <v>438</v>
      </c>
      <c r="D160" s="157">
        <f>'WP 12'!C13</f>
        <v>66.94</v>
      </c>
      <c r="E160" s="157"/>
      <c r="F160" s="187"/>
      <c r="G160" s="184"/>
      <c r="H160" s="159"/>
      <c r="I160" s="157"/>
      <c r="J160" s="157"/>
      <c r="K160" s="157"/>
      <c r="L160" s="157"/>
      <c r="M160" s="157"/>
      <c r="N160" s="157"/>
      <c r="O160" s="157"/>
      <c r="P160" s="157"/>
      <c r="Q160" s="157"/>
      <c r="R160" s="157"/>
      <c r="S160" s="157"/>
      <c r="T160" s="157"/>
      <c r="U160" s="157"/>
      <c r="V160" s="157"/>
      <c r="W160" s="157"/>
      <c r="X160" s="157"/>
      <c r="Y160" s="157"/>
      <c r="Z160" s="157"/>
      <c r="AA160" s="157"/>
      <c r="AB160" s="157"/>
      <c r="AC160" s="157"/>
    </row>
    <row r="161" spans="1:29" s="136" customFormat="1">
      <c r="A161" s="149">
        <f t="shared" si="6"/>
        <v>134</v>
      </c>
      <c r="B161" s="199" t="s">
        <v>460</v>
      </c>
      <c r="C161" s="195" t="s">
        <v>438</v>
      </c>
      <c r="D161" s="157">
        <f>'WP 12'!C15</f>
        <v>70444.87999999999</v>
      </c>
      <c r="E161" s="157"/>
      <c r="F161" s="187"/>
      <c r="G161" s="184"/>
      <c r="H161" s="159"/>
      <c r="I161" s="157"/>
      <c r="J161" s="157"/>
      <c r="K161" s="157"/>
      <c r="L161" s="157"/>
      <c r="M161" s="157"/>
      <c r="N161" s="157"/>
      <c r="O161" s="157"/>
      <c r="P161" s="157"/>
      <c r="Q161" s="157"/>
      <c r="R161" s="157"/>
      <c r="S161" s="157"/>
      <c r="T161" s="157"/>
      <c r="U161" s="157"/>
      <c r="V161" s="157"/>
      <c r="W161" s="157"/>
      <c r="X161" s="157"/>
      <c r="Y161" s="157"/>
      <c r="Z161" s="157"/>
      <c r="AA161" s="157"/>
      <c r="AB161" s="157"/>
      <c r="AC161" s="157"/>
    </row>
    <row r="162" spans="1:29" s="136" customFormat="1">
      <c r="A162" s="149">
        <f t="shared" si="6"/>
        <v>135</v>
      </c>
      <c r="B162" s="199" t="s">
        <v>461</v>
      </c>
      <c r="C162" s="137" t="s">
        <v>438</v>
      </c>
      <c r="D162" s="157">
        <f>'WP 12'!C16</f>
        <v>380.65000000000003</v>
      </c>
      <c r="E162" s="157"/>
      <c r="F162" s="187"/>
      <c r="G162" s="184"/>
      <c r="H162" s="159"/>
      <c r="I162" s="157"/>
      <c r="J162" s="157"/>
      <c r="K162" s="157"/>
      <c r="L162" s="157"/>
      <c r="M162" s="157"/>
      <c r="N162" s="157"/>
      <c r="O162" s="157"/>
      <c r="P162" s="157"/>
      <c r="Q162" s="157"/>
      <c r="R162" s="157"/>
      <c r="S162" s="157"/>
      <c r="T162" s="157"/>
      <c r="U162" s="157"/>
      <c r="V162" s="157"/>
      <c r="W162" s="157"/>
      <c r="X162" s="157"/>
      <c r="Y162" s="157"/>
      <c r="Z162" s="157"/>
      <c r="AA162" s="157"/>
      <c r="AB162" s="157"/>
      <c r="AC162" s="157"/>
    </row>
    <row r="163" spans="1:29" s="136" customFormat="1">
      <c r="A163" s="149">
        <f t="shared" si="6"/>
        <v>136</v>
      </c>
      <c r="B163" s="199" t="s">
        <v>462</v>
      </c>
      <c r="C163" s="137" t="s">
        <v>463</v>
      </c>
      <c r="D163" s="206">
        <v>62119</v>
      </c>
      <c r="E163" s="157"/>
      <c r="F163" s="168"/>
      <c r="G163" s="186"/>
      <c r="H163" s="159"/>
      <c r="I163" s="157"/>
      <c r="J163" s="157"/>
      <c r="K163" s="157"/>
      <c r="L163" s="157"/>
      <c r="M163" s="157"/>
      <c r="N163" s="157"/>
      <c r="O163" s="157"/>
      <c r="P163" s="157"/>
      <c r="Q163" s="157"/>
      <c r="R163" s="157"/>
      <c r="S163" s="157"/>
      <c r="T163" s="157"/>
      <c r="U163" s="157"/>
      <c r="V163" s="157"/>
      <c r="W163" s="157"/>
      <c r="X163" s="157"/>
      <c r="Y163" s="157"/>
      <c r="Z163" s="157"/>
      <c r="AA163" s="157"/>
      <c r="AB163" s="157"/>
      <c r="AC163" s="157"/>
    </row>
    <row r="164" spans="1:29" s="136" customFormat="1">
      <c r="A164" s="149">
        <f t="shared" si="6"/>
        <v>137</v>
      </c>
      <c r="B164" s="199" t="s">
        <v>464</v>
      </c>
      <c r="C164" s="137" t="s">
        <v>465</v>
      </c>
      <c r="D164" s="206">
        <v>6980</v>
      </c>
      <c r="E164" s="157"/>
      <c r="F164" s="186"/>
      <c r="G164" s="184"/>
      <c r="H164" s="159"/>
      <c r="I164" s="157"/>
      <c r="J164" s="157"/>
      <c r="K164" s="157"/>
      <c r="L164" s="157"/>
      <c r="M164" s="157"/>
      <c r="N164" s="157"/>
      <c r="O164" s="157"/>
      <c r="P164" s="157"/>
      <c r="Q164" s="157"/>
      <c r="R164" s="157"/>
      <c r="S164" s="157"/>
      <c r="T164" s="157"/>
      <c r="U164" s="157"/>
      <c r="V164" s="157"/>
      <c r="W164" s="157"/>
      <c r="X164" s="157"/>
      <c r="Y164" s="157"/>
      <c r="Z164" s="157"/>
      <c r="AA164" s="157"/>
      <c r="AB164" s="157"/>
      <c r="AC164" s="157"/>
    </row>
    <row r="165" spans="1:29" s="136" customFormat="1">
      <c r="A165" s="149">
        <f t="shared" si="6"/>
        <v>138</v>
      </c>
      <c r="B165" s="199" t="s">
        <v>466</v>
      </c>
      <c r="C165" s="137" t="s">
        <v>467</v>
      </c>
      <c r="D165" s="206">
        <v>1145324</v>
      </c>
      <c r="E165" s="157"/>
      <c r="F165" s="185"/>
      <c r="G165" s="186"/>
      <c r="H165" s="159"/>
      <c r="I165" s="157"/>
      <c r="J165" s="157"/>
      <c r="K165" s="157"/>
      <c r="L165" s="157"/>
      <c r="M165" s="157"/>
      <c r="N165" s="157"/>
      <c r="O165" s="157"/>
      <c r="P165" s="157"/>
      <c r="Q165" s="157"/>
      <c r="R165" s="157"/>
      <c r="S165" s="157"/>
      <c r="T165" s="157"/>
      <c r="U165" s="157"/>
      <c r="V165" s="157"/>
      <c r="W165" s="157"/>
      <c r="X165" s="157"/>
      <c r="Y165" s="157"/>
      <c r="Z165" s="157"/>
      <c r="AA165" s="157"/>
      <c r="AB165" s="157"/>
      <c r="AC165" s="157"/>
    </row>
    <row r="166" spans="1:29" s="136" customFormat="1">
      <c r="A166" s="149">
        <f t="shared" si="6"/>
        <v>139</v>
      </c>
      <c r="B166" s="199" t="s">
        <v>468</v>
      </c>
      <c r="C166" s="137" t="s">
        <v>469</v>
      </c>
      <c r="D166" s="206">
        <v>3544208</v>
      </c>
      <c r="E166" s="157"/>
      <c r="F166" s="168"/>
      <c r="G166" s="186"/>
      <c r="H166" s="159"/>
      <c r="I166" s="157"/>
      <c r="J166" s="157"/>
      <c r="K166" s="157"/>
      <c r="L166" s="157"/>
      <c r="M166" s="157"/>
      <c r="N166" s="157"/>
      <c r="O166" s="157"/>
      <c r="P166" s="157"/>
      <c r="Q166" s="157"/>
      <c r="R166" s="157"/>
      <c r="S166" s="157"/>
      <c r="T166" s="157"/>
      <c r="U166" s="157"/>
      <c r="V166" s="157"/>
      <c r="W166" s="157"/>
      <c r="X166" s="157"/>
      <c r="Y166" s="157"/>
      <c r="Z166" s="157"/>
      <c r="AA166" s="157"/>
      <c r="AB166" s="157"/>
      <c r="AC166" s="157"/>
    </row>
    <row r="167" spans="1:29" s="136" customFormat="1">
      <c r="A167" s="149">
        <f t="shared" si="6"/>
        <v>140</v>
      </c>
      <c r="B167" s="199" t="s">
        <v>470</v>
      </c>
      <c r="C167" s="137" t="s">
        <v>471</v>
      </c>
      <c r="D167" s="207">
        <v>0</v>
      </c>
      <c r="E167" s="157"/>
      <c r="F167" s="185"/>
      <c r="G167" s="184"/>
      <c r="H167" s="159"/>
      <c r="I167" s="157"/>
      <c r="J167" s="157"/>
      <c r="K167" s="157"/>
      <c r="L167" s="157"/>
      <c r="M167" s="157"/>
      <c r="N167" s="157"/>
      <c r="O167" s="157"/>
      <c r="P167" s="157"/>
      <c r="Q167" s="157"/>
      <c r="R167" s="157"/>
      <c r="S167" s="157"/>
      <c r="T167" s="157"/>
      <c r="U167" s="157"/>
      <c r="V167" s="157"/>
      <c r="W167" s="157"/>
      <c r="X167" s="157"/>
      <c r="Y167" s="157"/>
      <c r="Z167" s="157"/>
      <c r="AA167" s="157"/>
      <c r="AB167" s="157"/>
      <c r="AC167" s="157"/>
    </row>
    <row r="168" spans="1:29" s="136" customFormat="1">
      <c r="A168" s="149">
        <f t="shared" si="6"/>
        <v>141</v>
      </c>
      <c r="B168" s="199" t="s">
        <v>472</v>
      </c>
      <c r="C168" s="137" t="s">
        <v>473</v>
      </c>
      <c r="D168" s="208">
        <v>-800000</v>
      </c>
      <c r="E168" s="157"/>
      <c r="F168" s="185"/>
      <c r="G168" s="184"/>
      <c r="H168" s="159"/>
      <c r="I168" s="157"/>
      <c r="J168" s="157"/>
      <c r="K168" s="157"/>
      <c r="L168" s="157"/>
      <c r="M168" s="157"/>
      <c r="N168" s="157"/>
      <c r="O168" s="157"/>
      <c r="P168" s="157"/>
      <c r="Q168" s="157"/>
      <c r="R168" s="157"/>
      <c r="S168" s="157"/>
      <c r="T168" s="157"/>
      <c r="U168" s="157"/>
      <c r="V168" s="157"/>
      <c r="W168" s="157"/>
      <c r="X168" s="157"/>
      <c r="Y168" s="157"/>
      <c r="Z168" s="157"/>
      <c r="AA168" s="157"/>
      <c r="AB168" s="157"/>
      <c r="AC168" s="157"/>
    </row>
    <row r="169" spans="1:29" s="136" customFormat="1">
      <c r="A169" s="149">
        <f t="shared" si="6"/>
        <v>142</v>
      </c>
      <c r="B169" s="171" t="s">
        <v>474</v>
      </c>
      <c r="C169" s="137" t="str">
        <f>"Sum (Ln"&amp;A159&amp;" - Ln"&amp;A168&amp;")"</f>
        <v>Sum (Ln132 - Ln141)</v>
      </c>
      <c r="D169" s="157">
        <f>SUM(D159:D168)</f>
        <v>4029723.01</v>
      </c>
      <c r="E169" s="157"/>
      <c r="F169" s="185"/>
      <c r="G169" s="186"/>
      <c r="H169" s="159"/>
      <c r="I169" s="157"/>
      <c r="J169" s="157"/>
      <c r="K169" s="157"/>
      <c r="L169" s="157"/>
      <c r="M169" s="157"/>
      <c r="N169" s="157"/>
      <c r="O169" s="157"/>
      <c r="P169" s="157"/>
      <c r="Q169" s="157"/>
      <c r="R169" s="157"/>
      <c r="S169" s="157"/>
      <c r="T169" s="157"/>
      <c r="U169" s="157"/>
      <c r="V169" s="157"/>
      <c r="W169" s="157"/>
      <c r="X169" s="157"/>
      <c r="Y169" s="157"/>
      <c r="Z169" s="157"/>
      <c r="AA169" s="157"/>
      <c r="AB169" s="157"/>
      <c r="AC169" s="157"/>
    </row>
    <row r="170" spans="1:29" s="136" customFormat="1">
      <c r="A170" s="149">
        <f t="shared" si="6"/>
        <v>143</v>
      </c>
      <c r="B170" s="171" t="s">
        <v>475</v>
      </c>
      <c r="C170" s="137" t="s">
        <v>441</v>
      </c>
      <c r="D170" s="157">
        <v>0</v>
      </c>
      <c r="E170" s="157"/>
      <c r="F170" s="185"/>
      <c r="G170" s="140"/>
      <c r="H170" s="160"/>
      <c r="I170" s="157"/>
      <c r="J170" s="157"/>
      <c r="K170" s="157"/>
      <c r="L170" s="157"/>
      <c r="M170" s="157"/>
      <c r="N170" s="157"/>
      <c r="O170" s="157"/>
      <c r="P170" s="157"/>
      <c r="Q170" s="157"/>
      <c r="R170" s="157"/>
      <c r="S170" s="157"/>
      <c r="T170" s="157"/>
      <c r="U170" s="157"/>
      <c r="V170" s="157"/>
      <c r="W170" s="157"/>
      <c r="X170" s="157"/>
      <c r="Y170" s="157"/>
      <c r="Z170" s="157"/>
      <c r="AA170" s="157"/>
      <c r="AB170" s="157"/>
      <c r="AC170" s="157"/>
    </row>
    <row r="171" spans="1:29" s="136" customFormat="1">
      <c r="A171" s="149"/>
      <c r="B171" s="171"/>
      <c r="C171" s="137"/>
      <c r="D171" s="157"/>
      <c r="E171" s="185"/>
      <c r="F171" s="185"/>
      <c r="G171" s="184"/>
      <c r="H171" s="159"/>
      <c r="I171" s="157"/>
      <c r="J171" s="157"/>
      <c r="K171" s="157"/>
      <c r="L171" s="157"/>
      <c r="M171" s="157"/>
      <c r="N171" s="157"/>
      <c r="O171" s="157"/>
      <c r="P171" s="157"/>
      <c r="Q171" s="157"/>
      <c r="R171" s="157"/>
      <c r="S171" s="157"/>
      <c r="T171" s="157"/>
      <c r="U171" s="157"/>
      <c r="V171" s="157"/>
      <c r="W171" s="157"/>
      <c r="X171" s="157"/>
      <c r="Y171" s="157"/>
      <c r="Z171" s="157"/>
      <c r="AA171" s="157"/>
      <c r="AB171" s="157"/>
      <c r="AC171" s="157"/>
    </row>
    <row r="172" spans="1:29" s="136" customFormat="1">
      <c r="A172" s="149">
        <f>A170+1</f>
        <v>144</v>
      </c>
      <c r="B172" s="137" t="s">
        <v>124</v>
      </c>
      <c r="D172" s="157"/>
      <c r="E172" s="157"/>
      <c r="F172" s="196"/>
      <c r="G172" s="186"/>
      <c r="H172" s="159"/>
      <c r="I172" s="157"/>
      <c r="J172" s="157"/>
      <c r="K172" s="157"/>
      <c r="L172" s="157"/>
      <c r="M172" s="157"/>
      <c r="N172" s="157"/>
      <c r="O172" s="157"/>
      <c r="P172" s="157"/>
      <c r="Q172" s="157"/>
      <c r="R172" s="157"/>
      <c r="S172" s="157"/>
      <c r="T172" s="157"/>
      <c r="U172" s="157"/>
      <c r="V172" s="157"/>
      <c r="W172" s="157"/>
      <c r="X172" s="157"/>
      <c r="Y172" s="157"/>
      <c r="Z172" s="157"/>
      <c r="AA172" s="157"/>
      <c r="AB172" s="157"/>
      <c r="AC172" s="157"/>
    </row>
    <row r="173" spans="1:29" s="136" customFormat="1">
      <c r="A173" s="149">
        <f>A172+1</f>
        <v>145</v>
      </c>
      <c r="B173" s="156" t="s">
        <v>476</v>
      </c>
      <c r="C173" s="137" t="s">
        <v>477</v>
      </c>
      <c r="D173" s="206">
        <v>1278908</v>
      </c>
      <c r="E173" s="157"/>
      <c r="F173" s="196"/>
      <c r="G173" s="186"/>
      <c r="H173" s="159"/>
      <c r="I173" s="157"/>
      <c r="J173" s="157"/>
      <c r="K173" s="157"/>
      <c r="L173" s="157"/>
      <c r="M173" s="157"/>
      <c r="N173" s="157"/>
      <c r="O173" s="157"/>
      <c r="P173" s="157"/>
      <c r="Q173" s="157"/>
      <c r="R173" s="157"/>
      <c r="S173" s="157"/>
      <c r="T173" s="157"/>
      <c r="U173" s="157"/>
      <c r="V173" s="157"/>
      <c r="W173" s="157"/>
      <c r="X173" s="157"/>
      <c r="Y173" s="157"/>
      <c r="Z173" s="157"/>
      <c r="AA173" s="157"/>
      <c r="AB173" s="157"/>
      <c r="AC173" s="157"/>
    </row>
    <row r="174" spans="1:29" s="136" customFormat="1">
      <c r="A174" s="149">
        <f>A173+1</f>
        <v>146</v>
      </c>
      <c r="B174" s="156" t="s">
        <v>478</v>
      </c>
      <c r="C174" s="137" t="s">
        <v>479</v>
      </c>
      <c r="D174" s="206">
        <v>7486078</v>
      </c>
      <c r="E174" s="157"/>
      <c r="F174" s="196"/>
      <c r="G174" s="186"/>
      <c r="H174" s="159"/>
      <c r="I174" s="157"/>
      <c r="J174" s="157"/>
      <c r="K174" s="157"/>
      <c r="L174" s="157"/>
      <c r="M174" s="157"/>
      <c r="N174" s="157"/>
      <c r="O174" s="157"/>
      <c r="P174" s="157"/>
      <c r="Q174" s="157"/>
      <c r="R174" s="157"/>
      <c r="S174" s="157"/>
      <c r="T174" s="157"/>
      <c r="U174" s="157"/>
      <c r="V174" s="157"/>
      <c r="W174" s="157"/>
      <c r="X174" s="157"/>
      <c r="Y174" s="157"/>
      <c r="Z174" s="157"/>
      <c r="AA174" s="157"/>
      <c r="AB174" s="157"/>
      <c r="AC174" s="157"/>
    </row>
    <row r="175" spans="1:29" s="136" customFormat="1">
      <c r="A175" s="149">
        <f>A174+1</f>
        <v>147</v>
      </c>
      <c r="B175" s="156" t="s">
        <v>58</v>
      </c>
      <c r="C175" s="137" t="s">
        <v>480</v>
      </c>
      <c r="D175" s="207">
        <v>13659163</v>
      </c>
      <c r="E175" s="157"/>
      <c r="F175" s="185"/>
      <c r="G175" s="186"/>
      <c r="H175" s="159"/>
      <c r="I175" s="157"/>
      <c r="J175" s="157"/>
      <c r="K175" s="157"/>
      <c r="L175" s="157"/>
      <c r="M175" s="157"/>
      <c r="N175" s="157"/>
      <c r="O175" s="157"/>
      <c r="P175" s="157"/>
      <c r="Q175" s="157"/>
      <c r="R175" s="157"/>
      <c r="S175" s="157"/>
      <c r="T175" s="157"/>
      <c r="U175" s="157"/>
      <c r="V175" s="157"/>
      <c r="W175" s="157"/>
      <c r="X175" s="157"/>
      <c r="Y175" s="157"/>
      <c r="Z175" s="157"/>
      <c r="AA175" s="157"/>
      <c r="AB175" s="157"/>
      <c r="AC175" s="157"/>
    </row>
    <row r="176" spans="1:29" s="136" customFormat="1">
      <c r="A176" s="149">
        <f>A175+1</f>
        <v>148</v>
      </c>
      <c r="B176" s="156"/>
      <c r="C176" s="137"/>
      <c r="D176" s="159"/>
      <c r="E176" s="157"/>
      <c r="F176" s="185"/>
      <c r="G176" s="186"/>
      <c r="H176" s="159"/>
      <c r="I176" s="157"/>
      <c r="J176" s="157"/>
      <c r="K176" s="157"/>
      <c r="L176" s="157"/>
      <c r="M176" s="157"/>
      <c r="N176" s="157"/>
      <c r="O176" s="157"/>
      <c r="P176" s="157"/>
      <c r="Q176" s="157"/>
      <c r="R176" s="157"/>
      <c r="S176" s="157"/>
      <c r="T176" s="157"/>
      <c r="U176" s="157"/>
      <c r="V176" s="157"/>
      <c r="W176" s="157"/>
      <c r="X176" s="157"/>
      <c r="Y176" s="157"/>
      <c r="Z176" s="157"/>
      <c r="AA176" s="157"/>
      <c r="AB176" s="157"/>
      <c r="AC176" s="157"/>
    </row>
    <row r="177" spans="1:29" s="136" customFormat="1">
      <c r="A177" s="149"/>
      <c r="B177" s="156"/>
      <c r="C177" s="137"/>
      <c r="D177" s="157"/>
      <c r="E177" s="157"/>
      <c r="F177" s="196"/>
      <c r="G177" s="184"/>
      <c r="H177" s="159"/>
      <c r="I177" s="157"/>
      <c r="J177" s="157"/>
      <c r="K177" s="157"/>
      <c r="L177" s="157"/>
      <c r="M177" s="157"/>
      <c r="N177" s="157"/>
      <c r="O177" s="157"/>
      <c r="P177" s="157"/>
      <c r="Q177" s="157"/>
      <c r="R177" s="157"/>
      <c r="S177" s="157"/>
      <c r="T177" s="157"/>
      <c r="U177" s="157"/>
      <c r="V177" s="157"/>
      <c r="W177" s="157"/>
      <c r="X177" s="157"/>
      <c r="Y177" s="157"/>
      <c r="Z177" s="157"/>
      <c r="AA177" s="157"/>
      <c r="AB177" s="157"/>
      <c r="AC177" s="157"/>
    </row>
    <row r="178" spans="1:29" s="136" customFormat="1">
      <c r="A178" s="149">
        <f>A176+1</f>
        <v>149</v>
      </c>
      <c r="B178" s="166" t="s">
        <v>481</v>
      </c>
      <c r="C178" s="137" t="s">
        <v>482</v>
      </c>
      <c r="D178" s="206">
        <v>-1988787</v>
      </c>
      <c r="E178" s="157"/>
      <c r="F178" s="196"/>
      <c r="G178" s="186"/>
      <c r="H178" s="159"/>
      <c r="I178" s="157"/>
      <c r="J178" s="157"/>
      <c r="K178" s="157"/>
      <c r="L178" s="157"/>
      <c r="M178" s="157"/>
      <c r="N178" s="157"/>
      <c r="O178" s="157"/>
      <c r="P178" s="157"/>
      <c r="Q178" s="157"/>
      <c r="R178" s="157"/>
      <c r="S178" s="157"/>
      <c r="T178" s="157"/>
      <c r="U178" s="157"/>
      <c r="V178" s="157"/>
      <c r="W178" s="157"/>
      <c r="X178" s="157"/>
      <c r="Y178" s="157"/>
      <c r="Z178" s="157"/>
      <c r="AA178" s="157"/>
      <c r="AB178" s="157"/>
      <c r="AC178" s="157"/>
    </row>
    <row r="179" spans="1:29" s="136" customFormat="1">
      <c r="A179" s="149">
        <f>A178+1</f>
        <v>150</v>
      </c>
      <c r="B179" s="166" t="s">
        <v>483</v>
      </c>
      <c r="C179" s="155" t="s">
        <v>484</v>
      </c>
      <c r="D179" s="157">
        <f>'WP 5'!D28</f>
        <v>-40385</v>
      </c>
      <c r="E179" s="157"/>
      <c r="F179" s="188"/>
      <c r="G179" s="186"/>
      <c r="H179" s="159"/>
      <c r="I179" s="157"/>
      <c r="J179" s="157"/>
      <c r="K179" s="157"/>
      <c r="L179" s="157"/>
      <c r="M179" s="157"/>
      <c r="N179" s="157"/>
      <c r="O179" s="157"/>
      <c r="P179" s="157"/>
      <c r="Q179" s="157"/>
      <c r="R179" s="157"/>
      <c r="S179" s="157"/>
      <c r="T179" s="157"/>
      <c r="U179" s="157"/>
      <c r="V179" s="157"/>
      <c r="W179" s="157"/>
      <c r="X179" s="157"/>
      <c r="Y179" s="157"/>
      <c r="Z179" s="157"/>
      <c r="AA179" s="157"/>
      <c r="AB179" s="157"/>
      <c r="AC179" s="157"/>
    </row>
    <row r="180" spans="1:29" s="136" customFormat="1">
      <c r="A180" s="149">
        <f>A179+1</f>
        <v>151</v>
      </c>
      <c r="B180" s="166" t="s">
        <v>485</v>
      </c>
      <c r="C180" s="155" t="s">
        <v>484</v>
      </c>
      <c r="D180" s="157">
        <f>'WP 5'!D38</f>
        <v>7898387</v>
      </c>
      <c r="E180" s="157"/>
      <c r="F180" s="188"/>
      <c r="G180" s="186"/>
      <c r="H180" s="159"/>
      <c r="I180" s="157"/>
      <c r="J180" s="157"/>
      <c r="K180" s="157"/>
      <c r="L180" s="157"/>
      <c r="M180" s="157"/>
      <c r="N180" s="157"/>
      <c r="O180" s="157"/>
      <c r="P180" s="157"/>
      <c r="Q180" s="157"/>
      <c r="R180" s="157"/>
      <c r="S180" s="157"/>
      <c r="T180" s="157"/>
      <c r="U180" s="157"/>
      <c r="V180" s="157"/>
      <c r="W180" s="157"/>
      <c r="X180" s="157"/>
      <c r="Y180" s="157"/>
      <c r="Z180" s="157"/>
      <c r="AA180" s="157"/>
      <c r="AB180" s="157"/>
      <c r="AC180" s="157"/>
    </row>
    <row r="181" spans="1:29">
      <c r="A181" s="149"/>
      <c r="D181" s="157"/>
      <c r="E181" s="157"/>
      <c r="F181" s="196"/>
      <c r="G181" s="184"/>
      <c r="H181" s="159"/>
      <c r="I181" s="160"/>
      <c r="J181" s="160"/>
      <c r="K181" s="160"/>
      <c r="L181" s="160"/>
      <c r="M181" s="160"/>
      <c r="N181" s="160"/>
      <c r="O181" s="160"/>
      <c r="P181" s="160"/>
      <c r="Q181" s="160"/>
      <c r="R181" s="160"/>
      <c r="S181" s="160"/>
      <c r="T181" s="160"/>
      <c r="U181" s="160"/>
      <c r="V181" s="160"/>
      <c r="W181" s="160"/>
      <c r="X181" s="160"/>
      <c r="Y181" s="160"/>
      <c r="Z181" s="160"/>
      <c r="AA181" s="160"/>
      <c r="AB181" s="160"/>
      <c r="AC181" s="160"/>
    </row>
    <row r="182" spans="1:29">
      <c r="A182" s="149">
        <f>A180+1</f>
        <v>152</v>
      </c>
      <c r="B182" s="136" t="s">
        <v>486</v>
      </c>
      <c r="D182" s="157">
        <v>0</v>
      </c>
      <c r="E182" s="157"/>
      <c r="F182" s="196"/>
      <c r="G182" s="186"/>
      <c r="H182" s="159"/>
      <c r="I182" s="160"/>
      <c r="J182" s="160"/>
      <c r="K182" s="160"/>
      <c r="L182" s="160"/>
      <c r="M182" s="160"/>
      <c r="N182" s="160"/>
      <c r="O182" s="160"/>
      <c r="P182" s="160"/>
      <c r="Q182" s="160"/>
      <c r="R182" s="160"/>
      <c r="S182" s="160"/>
      <c r="T182" s="160"/>
      <c r="U182" s="160"/>
      <c r="V182" s="160"/>
      <c r="W182" s="160"/>
      <c r="X182" s="160"/>
      <c r="Y182" s="160"/>
      <c r="Z182" s="160"/>
      <c r="AA182" s="160"/>
      <c r="AB182" s="160"/>
      <c r="AC182" s="160"/>
    </row>
    <row r="183" spans="1:29">
      <c r="A183" s="149">
        <f>A182+1</f>
        <v>153</v>
      </c>
      <c r="B183" s="136" t="s">
        <v>487</v>
      </c>
      <c r="D183" s="157">
        <v>0</v>
      </c>
      <c r="E183" s="157"/>
      <c r="F183" s="196"/>
      <c r="G183" s="184"/>
      <c r="H183" s="159"/>
      <c r="I183" s="160"/>
      <c r="J183" s="160"/>
      <c r="K183" s="160"/>
      <c r="L183" s="160"/>
      <c r="M183" s="160"/>
      <c r="N183" s="160"/>
      <c r="O183" s="160"/>
      <c r="P183" s="160"/>
      <c r="Q183" s="160"/>
      <c r="R183" s="160"/>
      <c r="S183" s="160"/>
      <c r="T183" s="160"/>
      <c r="U183" s="160"/>
      <c r="V183" s="160"/>
      <c r="W183" s="160"/>
      <c r="X183" s="160"/>
      <c r="Y183" s="160"/>
      <c r="Z183" s="160"/>
      <c r="AA183" s="160"/>
      <c r="AB183" s="160"/>
      <c r="AC183" s="160"/>
    </row>
    <row r="184" spans="1:29">
      <c r="A184" s="149"/>
      <c r="B184" s="137"/>
      <c r="D184" s="157"/>
      <c r="E184" s="157"/>
      <c r="F184" s="188"/>
      <c r="G184" s="184"/>
      <c r="H184" s="159"/>
      <c r="I184" s="160"/>
      <c r="J184" s="160"/>
      <c r="K184" s="160"/>
      <c r="L184" s="160"/>
      <c r="M184" s="160"/>
      <c r="N184" s="160"/>
      <c r="O184" s="160"/>
      <c r="P184" s="160"/>
      <c r="Q184" s="160"/>
      <c r="R184" s="160"/>
      <c r="S184" s="160"/>
      <c r="T184" s="160"/>
      <c r="U184" s="160"/>
      <c r="V184" s="160"/>
      <c r="W184" s="160"/>
      <c r="X184" s="160"/>
      <c r="Y184" s="160"/>
      <c r="Z184" s="160"/>
      <c r="AA184" s="160"/>
      <c r="AB184" s="160"/>
      <c r="AC184" s="160"/>
    </row>
    <row r="185" spans="1:29">
      <c r="A185" s="149">
        <f>A183+1</f>
        <v>154</v>
      </c>
      <c r="B185" s="166" t="s">
        <v>488</v>
      </c>
      <c r="C185" s="155" t="s">
        <v>489</v>
      </c>
      <c r="D185" s="157">
        <f>'WP 13'!E32</f>
        <v>1898241.1382652523</v>
      </c>
      <c r="E185" s="157"/>
      <c r="F185" s="196"/>
      <c r="G185" s="184"/>
      <c r="H185" s="159"/>
      <c r="I185" s="160"/>
      <c r="J185" s="160"/>
      <c r="K185" s="160"/>
      <c r="L185" s="160"/>
      <c r="M185" s="160"/>
      <c r="N185" s="160"/>
      <c r="O185" s="160"/>
      <c r="P185" s="160"/>
      <c r="Q185" s="160"/>
      <c r="R185" s="160"/>
      <c r="S185" s="160"/>
      <c r="T185" s="160"/>
      <c r="U185" s="160"/>
      <c r="V185" s="160"/>
      <c r="W185" s="160"/>
      <c r="X185" s="160"/>
      <c r="Y185" s="160"/>
      <c r="Z185" s="160"/>
      <c r="AA185" s="160"/>
      <c r="AB185" s="160"/>
      <c r="AC185" s="160"/>
    </row>
    <row r="186" spans="1:29">
      <c r="A186" s="149"/>
      <c r="D186" s="157"/>
      <c r="E186" s="157"/>
      <c r="F186" s="196"/>
      <c r="G186" s="184"/>
      <c r="H186" s="159"/>
      <c r="I186" s="160"/>
      <c r="J186" s="160"/>
      <c r="K186" s="160"/>
      <c r="L186" s="160"/>
      <c r="M186" s="160"/>
      <c r="N186" s="160"/>
      <c r="O186" s="160"/>
      <c r="P186" s="160"/>
      <c r="Q186" s="160"/>
      <c r="R186" s="160"/>
      <c r="S186" s="160"/>
      <c r="T186" s="160"/>
      <c r="U186" s="160"/>
      <c r="V186" s="160"/>
      <c r="W186" s="160"/>
      <c r="X186" s="160"/>
      <c r="Y186" s="160"/>
      <c r="Z186" s="160"/>
      <c r="AA186" s="160"/>
      <c r="AB186" s="160"/>
      <c r="AC186" s="160"/>
    </row>
    <row r="187" spans="1:29">
      <c r="A187" s="149">
        <f>A185+1</f>
        <v>155</v>
      </c>
      <c r="B187" s="195" t="s">
        <v>490</v>
      </c>
      <c r="D187" s="157"/>
      <c r="E187" s="157"/>
      <c r="F187" s="196"/>
      <c r="G187" s="186"/>
      <c r="H187" s="159"/>
      <c r="I187" s="160"/>
      <c r="J187" s="160"/>
      <c r="K187" s="160"/>
      <c r="L187" s="160"/>
      <c r="M187" s="160"/>
      <c r="N187" s="160"/>
      <c r="O187" s="160"/>
      <c r="P187" s="160"/>
      <c r="Q187" s="160"/>
      <c r="R187" s="160"/>
      <c r="S187" s="160"/>
      <c r="T187" s="160"/>
      <c r="U187" s="160"/>
      <c r="V187" s="160"/>
      <c r="W187" s="160"/>
      <c r="X187" s="160"/>
      <c r="Y187" s="160"/>
      <c r="Z187" s="160"/>
      <c r="AA187" s="160"/>
      <c r="AB187" s="160"/>
      <c r="AC187" s="160"/>
    </row>
    <row r="188" spans="1:29">
      <c r="A188" s="149">
        <f>A187+1</f>
        <v>156</v>
      </c>
      <c r="B188" s="166" t="s">
        <v>491</v>
      </c>
      <c r="C188" s="155"/>
      <c r="D188" s="157">
        <v>0</v>
      </c>
      <c r="E188" s="157"/>
      <c r="F188" s="188"/>
      <c r="G188" s="184"/>
      <c r="H188" s="159"/>
      <c r="I188" s="160"/>
      <c r="J188" s="160"/>
      <c r="K188" s="160"/>
      <c r="L188" s="160"/>
      <c r="M188" s="160"/>
      <c r="N188" s="160"/>
      <c r="O188" s="160"/>
      <c r="P188" s="160"/>
      <c r="Q188" s="160"/>
      <c r="R188" s="160"/>
      <c r="S188" s="160"/>
      <c r="T188" s="160"/>
      <c r="U188" s="160"/>
      <c r="V188" s="160"/>
      <c r="W188" s="160"/>
      <c r="X188" s="160"/>
      <c r="Y188" s="160"/>
      <c r="Z188" s="160"/>
      <c r="AA188" s="160"/>
      <c r="AB188" s="160"/>
      <c r="AC188" s="160"/>
    </row>
    <row r="189" spans="1:29" ht="3" customHeight="1">
      <c r="A189" s="149"/>
      <c r="D189" s="157"/>
      <c r="E189" s="157"/>
      <c r="F189" s="188"/>
      <c r="G189" s="184"/>
      <c r="H189" s="159"/>
      <c r="I189" s="160"/>
      <c r="J189" s="160"/>
      <c r="K189" s="160"/>
      <c r="L189" s="160"/>
      <c r="M189" s="160"/>
      <c r="N189" s="160"/>
      <c r="O189" s="160"/>
      <c r="P189" s="160"/>
      <c r="Q189" s="160"/>
      <c r="R189" s="160"/>
      <c r="S189" s="160"/>
      <c r="T189" s="160"/>
      <c r="U189" s="160"/>
      <c r="V189" s="160"/>
      <c r="W189" s="160"/>
      <c r="X189" s="160"/>
      <c r="Y189" s="160"/>
      <c r="Z189" s="160"/>
      <c r="AA189" s="160"/>
      <c r="AB189" s="160"/>
      <c r="AC189" s="160"/>
    </row>
    <row r="190" spans="1:29">
      <c r="A190" s="149">
        <f>A188+1</f>
        <v>157</v>
      </c>
      <c r="B190" s="137" t="s">
        <v>492</v>
      </c>
      <c r="C190" s="155"/>
      <c r="D190" s="157"/>
      <c r="E190" s="157"/>
      <c r="F190" s="196"/>
      <c r="G190" s="186"/>
      <c r="H190" s="159"/>
      <c r="I190" s="160"/>
      <c r="J190" s="160"/>
      <c r="K190" s="160"/>
      <c r="L190" s="160"/>
      <c r="M190" s="160"/>
      <c r="N190" s="160"/>
      <c r="O190" s="160"/>
      <c r="P190" s="160"/>
      <c r="Q190" s="160"/>
      <c r="R190" s="160"/>
      <c r="S190" s="160"/>
      <c r="T190" s="160"/>
      <c r="U190" s="160"/>
      <c r="V190" s="160"/>
      <c r="W190" s="160"/>
      <c r="X190" s="160"/>
      <c r="Y190" s="160"/>
      <c r="Z190" s="160"/>
      <c r="AA190" s="160"/>
      <c r="AB190" s="160"/>
      <c r="AC190" s="160"/>
    </row>
    <row r="191" spans="1:29">
      <c r="A191" s="149">
        <f>+A190+1</f>
        <v>158</v>
      </c>
      <c r="B191" s="166" t="s">
        <v>493</v>
      </c>
      <c r="C191" s="155" t="s">
        <v>494</v>
      </c>
      <c r="D191" s="157">
        <f>'WP 6'!M11</f>
        <v>46041300.049999997</v>
      </c>
      <c r="E191" s="157"/>
      <c r="F191" s="196"/>
      <c r="G191" s="186"/>
      <c r="H191" s="159"/>
      <c r="I191" s="160"/>
      <c r="J191" s="160"/>
      <c r="K191" s="160"/>
      <c r="L191" s="160"/>
      <c r="M191" s="160"/>
      <c r="N191" s="160"/>
      <c r="O191" s="160"/>
      <c r="P191" s="160"/>
      <c r="Q191" s="160"/>
      <c r="R191" s="160"/>
      <c r="S191" s="160"/>
      <c r="T191" s="160"/>
      <c r="U191" s="160"/>
      <c r="V191" s="160"/>
      <c r="W191" s="160"/>
      <c r="X191" s="160"/>
      <c r="Y191" s="160"/>
      <c r="Z191" s="160"/>
      <c r="AA191" s="160"/>
      <c r="AB191" s="160"/>
      <c r="AC191" s="160"/>
    </row>
    <row r="192" spans="1:29" s="136" customFormat="1">
      <c r="A192" s="149"/>
      <c r="C192" s="137"/>
      <c r="D192" s="157"/>
      <c r="E192" s="157"/>
      <c r="F192" s="184"/>
      <c r="G192" s="186"/>
      <c r="H192" s="159"/>
      <c r="I192" s="157"/>
      <c r="J192" s="157"/>
      <c r="K192" s="157"/>
      <c r="L192" s="157"/>
      <c r="M192" s="157"/>
      <c r="N192" s="157"/>
      <c r="O192" s="157"/>
      <c r="P192" s="157"/>
      <c r="Q192" s="157"/>
      <c r="R192" s="157"/>
      <c r="S192" s="157"/>
      <c r="T192" s="157"/>
      <c r="U192" s="157"/>
      <c r="V192" s="157"/>
      <c r="W192" s="157"/>
      <c r="X192" s="157"/>
      <c r="Y192" s="157"/>
      <c r="Z192" s="157"/>
      <c r="AA192" s="157"/>
      <c r="AB192" s="157"/>
      <c r="AC192" s="157"/>
    </row>
    <row r="193" spans="1:29" s="136" customFormat="1">
      <c r="A193" s="149">
        <f>A191+1</f>
        <v>159</v>
      </c>
      <c r="B193" s="195" t="s">
        <v>495</v>
      </c>
      <c r="C193" s="155"/>
      <c r="D193" s="157"/>
      <c r="E193" s="157"/>
      <c r="F193" s="185"/>
      <c r="G193" s="186"/>
      <c r="H193" s="159"/>
      <c r="I193" s="157"/>
      <c r="J193" s="157"/>
      <c r="K193" s="157"/>
      <c r="L193" s="157"/>
      <c r="M193" s="157"/>
      <c r="N193" s="157"/>
      <c r="O193" s="157"/>
      <c r="P193" s="157"/>
      <c r="Q193" s="157"/>
      <c r="R193" s="157"/>
      <c r="S193" s="157"/>
      <c r="T193" s="157"/>
      <c r="U193" s="157"/>
      <c r="V193" s="157"/>
      <c r="W193" s="157"/>
      <c r="X193" s="157"/>
      <c r="Y193" s="157"/>
      <c r="Z193" s="157"/>
      <c r="AA193" s="157"/>
      <c r="AB193" s="157"/>
      <c r="AC193" s="157"/>
    </row>
    <row r="194" spans="1:29" s="136" customFormat="1">
      <c r="A194" s="149">
        <f>A193+1</f>
        <v>160</v>
      </c>
      <c r="B194" s="136" t="s">
        <v>496</v>
      </c>
      <c r="C194" s="137" t="s">
        <v>497</v>
      </c>
      <c r="D194" s="206">
        <v>301999</v>
      </c>
      <c r="E194" s="157"/>
      <c r="F194" s="185"/>
      <c r="G194" s="186"/>
      <c r="H194" s="159"/>
      <c r="I194" s="157"/>
      <c r="J194" s="157"/>
      <c r="K194" s="157"/>
      <c r="L194" s="157"/>
      <c r="M194" s="157"/>
      <c r="N194" s="157"/>
      <c r="O194" s="157"/>
      <c r="P194" s="157"/>
      <c r="Q194" s="157"/>
      <c r="R194" s="157"/>
      <c r="S194" s="157"/>
      <c r="T194" s="157"/>
      <c r="U194" s="157"/>
      <c r="V194" s="157"/>
      <c r="W194" s="157"/>
      <c r="X194" s="157"/>
      <c r="Y194" s="157"/>
      <c r="Z194" s="157"/>
      <c r="AA194" s="157"/>
      <c r="AB194" s="157"/>
      <c r="AC194" s="157"/>
    </row>
    <row r="195" spans="1:29" s="136" customFormat="1">
      <c r="A195" s="149">
        <f t="shared" ref="A195:A199" si="7">A194+1</f>
        <v>161</v>
      </c>
      <c r="B195" s="156" t="s">
        <v>388</v>
      </c>
      <c r="C195" s="155" t="s">
        <v>498</v>
      </c>
      <c r="D195" s="157">
        <v>0</v>
      </c>
      <c r="E195" s="157"/>
      <c r="F195" s="187"/>
      <c r="G195" s="186"/>
      <c r="H195" s="159"/>
      <c r="I195" s="157"/>
      <c r="J195" s="157"/>
      <c r="K195" s="157"/>
      <c r="L195" s="157"/>
      <c r="M195" s="157"/>
      <c r="N195" s="157"/>
      <c r="O195" s="157"/>
      <c r="P195" s="157"/>
      <c r="Q195" s="157"/>
      <c r="R195" s="157"/>
      <c r="S195" s="157"/>
      <c r="T195" s="157"/>
      <c r="U195" s="157"/>
      <c r="V195" s="157"/>
      <c r="W195" s="157"/>
      <c r="X195" s="157"/>
      <c r="Y195" s="157"/>
      <c r="Z195" s="157"/>
      <c r="AA195" s="157"/>
      <c r="AB195" s="157"/>
      <c r="AC195" s="157"/>
    </row>
    <row r="196" spans="1:29" s="136" customFormat="1">
      <c r="A196" s="149">
        <f t="shared" si="7"/>
        <v>162</v>
      </c>
      <c r="B196" s="166" t="s">
        <v>499</v>
      </c>
      <c r="C196" s="155" t="s">
        <v>500</v>
      </c>
      <c r="D196" s="206">
        <v>2202986</v>
      </c>
      <c r="E196" s="157"/>
      <c r="F196" s="185"/>
      <c r="G196" s="186"/>
      <c r="H196" s="159"/>
      <c r="I196" s="157"/>
      <c r="J196" s="157"/>
      <c r="K196" s="157"/>
      <c r="L196" s="157"/>
      <c r="M196" s="157"/>
      <c r="N196" s="157"/>
      <c r="O196" s="157"/>
      <c r="P196" s="157"/>
      <c r="Q196" s="157"/>
      <c r="R196" s="157"/>
      <c r="S196" s="157"/>
      <c r="T196" s="157"/>
      <c r="U196" s="157"/>
      <c r="V196" s="157"/>
      <c r="W196" s="157"/>
      <c r="X196" s="157"/>
      <c r="Y196" s="157"/>
      <c r="Z196" s="157"/>
      <c r="AA196" s="157"/>
      <c r="AB196" s="157"/>
      <c r="AC196" s="157"/>
    </row>
    <row r="197" spans="1:29" s="136" customFormat="1">
      <c r="A197" s="149">
        <f t="shared" si="7"/>
        <v>163</v>
      </c>
      <c r="B197" s="156" t="s">
        <v>388</v>
      </c>
      <c r="C197" s="155" t="s">
        <v>498</v>
      </c>
      <c r="D197" s="157">
        <f>'WP 15'!H30</f>
        <v>-1.0000000000047748E-2</v>
      </c>
      <c r="E197" s="157"/>
      <c r="F197" s="187"/>
      <c r="G197" s="186"/>
      <c r="H197" s="159"/>
      <c r="I197" s="157"/>
      <c r="J197" s="157"/>
      <c r="K197" s="157"/>
      <c r="L197" s="157"/>
      <c r="M197" s="157"/>
      <c r="N197" s="157"/>
      <c r="O197" s="157"/>
      <c r="P197" s="157"/>
      <c r="Q197" s="157"/>
      <c r="R197" s="157"/>
      <c r="S197" s="157"/>
      <c r="T197" s="157"/>
      <c r="U197" s="157"/>
      <c r="V197" s="157"/>
      <c r="W197" s="157"/>
      <c r="X197" s="157"/>
      <c r="Y197" s="157"/>
      <c r="Z197" s="157"/>
      <c r="AA197" s="157"/>
      <c r="AB197" s="157"/>
      <c r="AC197" s="157"/>
    </row>
    <row r="198" spans="1:29" s="136" customFormat="1">
      <c r="A198" s="149">
        <f t="shared" si="7"/>
        <v>164</v>
      </c>
      <c r="B198" s="166" t="s">
        <v>501</v>
      </c>
      <c r="C198" s="155" t="s">
        <v>502</v>
      </c>
      <c r="D198" s="206">
        <v>794652</v>
      </c>
      <c r="E198" s="157"/>
      <c r="G198" s="137"/>
      <c r="H198" s="157"/>
      <c r="I198" s="157"/>
      <c r="J198" s="157"/>
      <c r="K198" s="157"/>
      <c r="L198" s="157"/>
      <c r="M198" s="157"/>
      <c r="N198" s="157"/>
      <c r="O198" s="157"/>
      <c r="P198" s="157"/>
      <c r="Q198" s="157"/>
      <c r="R198" s="157"/>
      <c r="S198" s="157"/>
      <c r="T198" s="157"/>
      <c r="U198" s="157"/>
      <c r="V198" s="157"/>
      <c r="W198" s="157"/>
      <c r="X198" s="157"/>
      <c r="Y198" s="157"/>
      <c r="Z198" s="157"/>
      <c r="AA198" s="157"/>
      <c r="AB198" s="157"/>
      <c r="AC198" s="157"/>
    </row>
    <row r="199" spans="1:29" s="136" customFormat="1">
      <c r="A199" s="149">
        <f t="shared" si="7"/>
        <v>165</v>
      </c>
      <c r="B199" s="156" t="s">
        <v>388</v>
      </c>
      <c r="C199" s="155" t="s">
        <v>498</v>
      </c>
      <c r="D199" s="157">
        <f>'WP 15'!H31</f>
        <v>3.000000000001446E-2</v>
      </c>
      <c r="G199" s="137"/>
      <c r="H199" s="201"/>
      <c r="I199" s="157"/>
      <c r="J199" s="157"/>
      <c r="K199" s="157"/>
      <c r="L199" s="157"/>
      <c r="M199" s="157"/>
      <c r="N199" s="157"/>
      <c r="O199" s="157"/>
      <c r="P199" s="157"/>
      <c r="Q199" s="157"/>
      <c r="R199" s="157"/>
      <c r="S199" s="157"/>
      <c r="T199" s="157"/>
      <c r="U199" s="157"/>
      <c r="V199" s="157"/>
      <c r="W199" s="157"/>
      <c r="X199" s="157"/>
      <c r="Y199" s="157"/>
      <c r="Z199" s="157"/>
      <c r="AA199" s="157"/>
      <c r="AB199" s="157"/>
      <c r="AC199" s="157"/>
    </row>
    <row r="200" spans="1:29">
      <c r="A200" s="149">
        <v>163</v>
      </c>
      <c r="B200" s="166" t="s">
        <v>504</v>
      </c>
      <c r="C200" s="137" t="str">
        <f>"Sum (Ln"&amp;A194&amp;" - Ln"&amp;A201&amp;")"</f>
        <v>Sum (Ln160 - Ln164)</v>
      </c>
      <c r="D200" s="287">
        <f>SUM(D194:D199)</f>
        <v>3299637.02</v>
      </c>
      <c r="E200" s="157"/>
      <c r="F200" s="186"/>
      <c r="G200" s="186"/>
      <c r="H200" s="159"/>
      <c r="I200" s="178"/>
      <c r="J200" s="160"/>
      <c r="K200" s="160"/>
      <c r="L200" s="160"/>
      <c r="M200" s="160"/>
      <c r="N200" s="160"/>
      <c r="O200" s="160"/>
      <c r="P200" s="160"/>
      <c r="Q200" s="160"/>
      <c r="R200" s="160"/>
      <c r="S200" s="160"/>
      <c r="T200" s="160"/>
      <c r="U200" s="160"/>
      <c r="V200" s="160"/>
      <c r="W200" s="160"/>
      <c r="X200" s="160"/>
      <c r="Y200" s="160"/>
      <c r="Z200" s="160"/>
      <c r="AA200" s="160"/>
      <c r="AB200" s="160"/>
      <c r="AC200" s="160"/>
    </row>
    <row r="201" spans="1:29">
      <c r="A201" s="149">
        <v>164</v>
      </c>
      <c r="B201" s="166" t="s">
        <v>503</v>
      </c>
      <c r="C201" s="137" t="s">
        <v>668</v>
      </c>
      <c r="D201" s="159">
        <f>+'WP 17'!C12</f>
        <v>10565.58</v>
      </c>
      <c r="E201" s="157"/>
      <c r="F201" s="187"/>
      <c r="G201" s="186"/>
      <c r="H201" s="159"/>
      <c r="I201" s="178"/>
      <c r="J201" s="160"/>
      <c r="K201" s="160"/>
      <c r="L201" s="160"/>
      <c r="M201" s="160"/>
      <c r="N201" s="160"/>
      <c r="O201" s="160"/>
      <c r="P201" s="160"/>
      <c r="Q201" s="160"/>
      <c r="R201" s="160"/>
      <c r="S201" s="160"/>
      <c r="T201" s="160"/>
      <c r="U201" s="160"/>
      <c r="V201" s="160"/>
      <c r="W201" s="160"/>
      <c r="X201" s="160"/>
      <c r="Y201" s="160"/>
      <c r="Z201" s="160"/>
      <c r="AA201" s="160"/>
      <c r="AB201" s="160"/>
      <c r="AC201" s="160"/>
    </row>
    <row r="202" spans="1:29">
      <c r="A202" s="149"/>
      <c r="D202" s="157"/>
      <c r="E202" s="157"/>
      <c r="F202" s="196"/>
      <c r="G202" s="186"/>
      <c r="H202" s="159"/>
      <c r="I202" s="178"/>
      <c r="J202" s="160"/>
      <c r="K202" s="160"/>
      <c r="L202" s="160"/>
      <c r="M202" s="160"/>
      <c r="N202" s="160"/>
      <c r="O202" s="160"/>
      <c r="P202" s="160"/>
      <c r="Q202" s="160"/>
      <c r="R202" s="160"/>
      <c r="S202" s="160"/>
      <c r="T202" s="160"/>
      <c r="U202" s="160"/>
      <c r="V202" s="160"/>
      <c r="W202" s="160"/>
      <c r="X202" s="160"/>
      <c r="Y202" s="160"/>
      <c r="Z202" s="160"/>
      <c r="AA202" s="160"/>
      <c r="AB202" s="160"/>
      <c r="AC202" s="160"/>
    </row>
    <row r="203" spans="1:29" s="136" customFormat="1">
      <c r="A203" s="149">
        <v>165</v>
      </c>
      <c r="B203" s="195" t="s">
        <v>505</v>
      </c>
      <c r="C203" s="155"/>
      <c r="D203" s="157"/>
      <c r="E203" s="157"/>
      <c r="F203" s="196"/>
      <c r="G203" s="186"/>
      <c r="H203" s="159"/>
      <c r="I203" s="159"/>
      <c r="J203" s="157"/>
      <c r="K203" s="157"/>
      <c r="L203" s="157"/>
      <c r="M203" s="157"/>
      <c r="N203" s="157"/>
      <c r="O203" s="157"/>
      <c r="P203" s="157"/>
      <c r="Q203" s="157"/>
      <c r="R203" s="157"/>
      <c r="S203" s="157"/>
      <c r="T203" s="157"/>
      <c r="U203" s="157"/>
      <c r="V203" s="157"/>
      <c r="W203" s="157"/>
      <c r="X203" s="157"/>
      <c r="Y203" s="157"/>
      <c r="Z203" s="157"/>
      <c r="AA203" s="157"/>
      <c r="AB203" s="157"/>
      <c r="AC203" s="157"/>
    </row>
    <row r="204" spans="1:29" s="136" customFormat="1">
      <c r="A204" s="149">
        <f>A203+1</f>
        <v>166</v>
      </c>
      <c r="B204" s="156" t="s">
        <v>302</v>
      </c>
      <c r="C204" s="137" t="s">
        <v>506</v>
      </c>
      <c r="D204" s="206">
        <v>14042578</v>
      </c>
      <c r="E204" s="157"/>
      <c r="F204" s="196"/>
      <c r="G204" s="186"/>
      <c r="H204" s="159"/>
      <c r="I204" s="159"/>
      <c r="J204" s="157"/>
      <c r="K204" s="157"/>
      <c r="L204" s="157"/>
      <c r="M204" s="157"/>
      <c r="N204" s="157"/>
      <c r="O204" s="157"/>
      <c r="P204" s="157"/>
      <c r="Q204" s="157"/>
      <c r="R204" s="157"/>
      <c r="S204" s="157"/>
      <c r="T204" s="157"/>
      <c r="U204" s="157"/>
      <c r="V204" s="157"/>
      <c r="W204" s="157"/>
      <c r="X204" s="157"/>
      <c r="Y204" s="157"/>
      <c r="Z204" s="157"/>
      <c r="AA204" s="157"/>
      <c r="AB204" s="157"/>
      <c r="AC204" s="157"/>
    </row>
    <row r="205" spans="1:29" s="136" customFormat="1">
      <c r="A205" s="149">
        <f t="shared" ref="A205:A207" si="8">A204+1</f>
        <v>167</v>
      </c>
      <c r="B205" s="169" t="s">
        <v>388</v>
      </c>
      <c r="C205" s="155" t="s">
        <v>498</v>
      </c>
      <c r="D205" s="157">
        <f>'WP 15'!C56*-1</f>
        <v>-847566.74999999919</v>
      </c>
      <c r="E205" s="157"/>
      <c r="F205" s="187"/>
      <c r="G205" s="186"/>
      <c r="H205" s="159"/>
      <c r="I205" s="159"/>
      <c r="J205" s="157"/>
      <c r="K205" s="157"/>
      <c r="L205" s="157"/>
      <c r="M205" s="157"/>
      <c r="N205" s="157"/>
      <c r="O205" s="157"/>
      <c r="P205" s="157"/>
      <c r="Q205" s="157"/>
      <c r="R205" s="157"/>
      <c r="S205" s="157"/>
      <c r="T205" s="157"/>
      <c r="U205" s="157"/>
      <c r="V205" s="157"/>
      <c r="W205" s="157"/>
      <c r="X205" s="157"/>
      <c r="Y205" s="157"/>
      <c r="Z205" s="157"/>
      <c r="AA205" s="157"/>
      <c r="AB205" s="157"/>
      <c r="AC205" s="157"/>
    </row>
    <row r="206" spans="1:29" s="136" customFormat="1">
      <c r="A206" s="149">
        <f t="shared" si="8"/>
        <v>168</v>
      </c>
      <c r="B206" s="181" t="s">
        <v>390</v>
      </c>
      <c r="C206" s="155" t="s">
        <v>507</v>
      </c>
      <c r="D206" s="157">
        <f>'WP 16'!E31*-1</f>
        <v>-20656.52</v>
      </c>
      <c r="E206" s="157"/>
      <c r="F206" s="196"/>
      <c r="G206" s="186"/>
      <c r="H206" s="159"/>
      <c r="I206" s="159"/>
      <c r="J206" s="157"/>
      <c r="K206" s="157"/>
      <c r="L206" s="157"/>
      <c r="M206" s="157"/>
      <c r="N206" s="157"/>
      <c r="O206" s="157"/>
      <c r="P206" s="157"/>
      <c r="Q206" s="157"/>
      <c r="R206" s="157"/>
      <c r="S206" s="157"/>
      <c r="T206" s="157"/>
      <c r="U206" s="157"/>
      <c r="V206" s="157"/>
      <c r="W206" s="157"/>
      <c r="X206" s="157"/>
      <c r="Y206" s="157"/>
      <c r="Z206" s="157"/>
      <c r="AA206" s="157"/>
      <c r="AB206" s="157"/>
      <c r="AC206" s="157"/>
    </row>
    <row r="207" spans="1:29" s="136" customFormat="1">
      <c r="A207" s="149">
        <f t="shared" si="8"/>
        <v>169</v>
      </c>
      <c r="B207" s="162" t="s">
        <v>508</v>
      </c>
      <c r="C207" s="137" t="s">
        <v>509</v>
      </c>
      <c r="D207" s="206">
        <v>11107496</v>
      </c>
      <c r="E207" s="157"/>
      <c r="F207" s="196"/>
      <c r="G207" s="186"/>
      <c r="H207" s="159"/>
      <c r="I207" s="159"/>
      <c r="J207" s="157"/>
      <c r="K207" s="157"/>
      <c r="L207" s="157"/>
      <c r="M207" s="157"/>
      <c r="N207" s="157"/>
      <c r="O207" s="157"/>
      <c r="P207" s="157"/>
      <c r="Q207" s="157"/>
      <c r="R207" s="157"/>
      <c r="S207" s="157"/>
      <c r="T207" s="157"/>
      <c r="U207" s="157"/>
      <c r="V207" s="157"/>
      <c r="W207" s="157"/>
      <c r="X207" s="157"/>
      <c r="Y207" s="157"/>
      <c r="Z207" s="157"/>
      <c r="AA207" s="157"/>
      <c r="AB207" s="157"/>
      <c r="AC207" s="157"/>
    </row>
    <row r="208" spans="1:29" s="136" customFormat="1">
      <c r="A208" s="149">
        <f>A207+1</f>
        <v>170</v>
      </c>
      <c r="B208" s="156" t="s">
        <v>510</v>
      </c>
      <c r="C208" s="137" t="s">
        <v>509</v>
      </c>
      <c r="D208" s="206">
        <v>103041396</v>
      </c>
      <c r="E208" s="157"/>
      <c r="F208" s="196"/>
      <c r="G208" s="186"/>
      <c r="H208" s="159"/>
      <c r="I208" s="159"/>
      <c r="J208" s="157"/>
      <c r="K208" s="157"/>
      <c r="L208" s="157"/>
      <c r="M208" s="157"/>
      <c r="N208" s="157"/>
      <c r="O208" s="157"/>
      <c r="P208" s="157"/>
      <c r="Q208" s="157"/>
      <c r="R208" s="157"/>
      <c r="S208" s="157"/>
      <c r="T208" s="157"/>
      <c r="U208" s="157"/>
      <c r="V208" s="157"/>
      <c r="W208" s="157"/>
      <c r="X208" s="157"/>
      <c r="Y208" s="157"/>
      <c r="Z208" s="157"/>
      <c r="AA208" s="157"/>
      <c r="AB208" s="157"/>
      <c r="AC208" s="157"/>
    </row>
    <row r="209" spans="1:29" s="136" customFormat="1">
      <c r="A209" s="149">
        <f>A208+1</f>
        <v>171</v>
      </c>
      <c r="B209" s="166" t="s">
        <v>511</v>
      </c>
      <c r="C209" s="137" t="str">
        <f>"Sum (Ln"&amp;A204&amp;" - Ln"&amp;A208&amp;")"</f>
        <v>Sum (Ln166 - Ln170)</v>
      </c>
      <c r="D209" s="157">
        <f>SUM(D204:D208)</f>
        <v>127323246.73</v>
      </c>
      <c r="E209" s="157"/>
      <c r="F209" s="196"/>
      <c r="G209" s="186"/>
      <c r="H209" s="159"/>
      <c r="I209" s="159"/>
      <c r="J209" s="157"/>
      <c r="K209" s="157"/>
      <c r="L209" s="157"/>
      <c r="M209" s="157"/>
      <c r="N209" s="157"/>
      <c r="O209" s="157"/>
      <c r="P209" s="157"/>
      <c r="Q209" s="157"/>
      <c r="R209" s="157"/>
      <c r="S209" s="157"/>
      <c r="T209" s="157"/>
      <c r="U209" s="157"/>
      <c r="V209" s="157"/>
      <c r="W209" s="157"/>
      <c r="X209" s="157"/>
      <c r="Y209" s="157"/>
      <c r="Z209" s="157"/>
      <c r="AA209" s="157"/>
      <c r="AB209" s="157"/>
      <c r="AC209" s="157"/>
    </row>
    <row r="210" spans="1:29" s="136" customFormat="1" ht="3" customHeight="1">
      <c r="A210" s="149"/>
      <c r="B210" s="166"/>
      <c r="C210" s="137"/>
      <c r="D210" s="157"/>
      <c r="E210" s="157"/>
      <c r="F210" s="188"/>
      <c r="G210" s="184"/>
      <c r="H210" s="159"/>
      <c r="I210" s="159"/>
      <c r="J210" s="157"/>
      <c r="K210" s="157"/>
      <c r="L210" s="157"/>
      <c r="M210" s="157"/>
      <c r="N210" s="157"/>
      <c r="O210" s="157"/>
      <c r="P210" s="157"/>
      <c r="Q210" s="157"/>
      <c r="R210" s="157"/>
      <c r="S210" s="157"/>
      <c r="T210" s="157"/>
      <c r="U210" s="157"/>
      <c r="V210" s="157"/>
      <c r="W210" s="157"/>
      <c r="X210" s="157"/>
      <c r="Y210" s="157"/>
      <c r="Z210" s="157"/>
      <c r="AA210" s="157"/>
      <c r="AB210" s="157"/>
      <c r="AC210" s="157"/>
    </row>
    <row r="211" spans="1:29" s="136" customFormat="1">
      <c r="A211" s="149">
        <f>A209+1</f>
        <v>172</v>
      </c>
      <c r="B211" s="156" t="s">
        <v>52</v>
      </c>
      <c r="C211" s="155" t="s">
        <v>512</v>
      </c>
      <c r="D211" s="206">
        <v>6143358</v>
      </c>
      <c r="E211" s="157"/>
      <c r="F211" s="188"/>
      <c r="G211" s="184"/>
      <c r="H211" s="159"/>
      <c r="I211" s="159"/>
      <c r="J211" s="157"/>
      <c r="K211" s="157"/>
      <c r="L211" s="157"/>
      <c r="M211" s="157"/>
      <c r="N211" s="157"/>
      <c r="O211" s="157"/>
      <c r="P211" s="157"/>
      <c r="Q211" s="157"/>
      <c r="R211" s="157"/>
      <c r="S211" s="157"/>
      <c r="T211" s="157"/>
      <c r="U211" s="157"/>
      <c r="V211" s="157"/>
      <c r="W211" s="157"/>
      <c r="X211" s="157"/>
      <c r="Y211" s="157"/>
      <c r="Z211" s="157"/>
      <c r="AA211" s="157"/>
      <c r="AB211" s="157"/>
      <c r="AC211" s="157"/>
    </row>
    <row r="212" spans="1:29" s="136" customFormat="1">
      <c r="A212" s="149">
        <f t="shared" ref="A212:A215" si="9">A211+1</f>
        <v>173</v>
      </c>
      <c r="B212" s="169" t="s">
        <v>388</v>
      </c>
      <c r="C212" s="155" t="s">
        <v>498</v>
      </c>
      <c r="D212" s="157">
        <f>'WP 15'!C57*-1</f>
        <v>-993891.74000000022</v>
      </c>
      <c r="E212" s="157"/>
      <c r="F212" s="187"/>
      <c r="G212" s="186"/>
      <c r="H212" s="159"/>
      <c r="I212" s="159"/>
      <c r="J212" s="157"/>
      <c r="K212" s="157"/>
      <c r="L212" s="157"/>
      <c r="M212" s="157"/>
      <c r="N212" s="157"/>
      <c r="O212" s="157"/>
      <c r="P212" s="157"/>
      <c r="Q212" s="157"/>
      <c r="R212" s="157"/>
      <c r="S212" s="157"/>
      <c r="T212" s="157"/>
      <c r="U212" s="157"/>
      <c r="V212" s="157"/>
      <c r="W212" s="157"/>
      <c r="X212" s="157"/>
      <c r="Y212" s="157"/>
      <c r="Z212" s="157"/>
      <c r="AA212" s="157"/>
      <c r="AB212" s="157"/>
      <c r="AC212" s="157"/>
    </row>
    <row r="213" spans="1:29" s="136" customFormat="1">
      <c r="A213" s="149">
        <f t="shared" si="9"/>
        <v>174</v>
      </c>
      <c r="B213" s="181" t="s">
        <v>390</v>
      </c>
      <c r="C213" s="155" t="s">
        <v>507</v>
      </c>
      <c r="D213" s="157">
        <f>'WP 16'!E39*-1</f>
        <v>-461359.03</v>
      </c>
      <c r="E213" s="157"/>
      <c r="F213" s="196"/>
      <c r="G213" s="186"/>
      <c r="H213" s="159"/>
      <c r="I213" s="159"/>
      <c r="J213" s="157"/>
      <c r="K213" s="157"/>
      <c r="L213" s="157"/>
      <c r="M213" s="157"/>
      <c r="N213" s="157"/>
      <c r="O213" s="157"/>
      <c r="P213" s="157"/>
      <c r="Q213" s="157"/>
      <c r="R213" s="157"/>
      <c r="S213" s="157"/>
      <c r="T213" s="157"/>
      <c r="U213" s="157"/>
      <c r="V213" s="157"/>
      <c r="W213" s="157"/>
      <c r="X213" s="157"/>
      <c r="Y213" s="157"/>
      <c r="Z213" s="157"/>
      <c r="AA213" s="157"/>
      <c r="AB213" s="157"/>
      <c r="AC213" s="157"/>
    </row>
    <row r="214" spans="1:29" s="136" customFormat="1">
      <c r="A214" s="149">
        <f t="shared" si="9"/>
        <v>175</v>
      </c>
      <c r="B214" s="162" t="s">
        <v>508</v>
      </c>
      <c r="C214" s="137" t="s">
        <v>509</v>
      </c>
      <c r="D214" s="206">
        <v>6547086</v>
      </c>
      <c r="E214" s="157"/>
      <c r="F214" s="196"/>
      <c r="G214" s="186"/>
      <c r="H214" s="159"/>
      <c r="I214" s="159"/>
      <c r="J214" s="157"/>
      <c r="K214" s="157"/>
      <c r="L214" s="157"/>
      <c r="M214" s="157"/>
      <c r="N214" s="157"/>
      <c r="O214" s="157"/>
      <c r="P214" s="157"/>
      <c r="Q214" s="157"/>
      <c r="R214" s="157"/>
      <c r="S214" s="157"/>
      <c r="T214" s="157"/>
      <c r="U214" s="157"/>
      <c r="V214" s="157"/>
      <c r="W214" s="157"/>
      <c r="X214" s="157"/>
      <c r="Y214" s="157"/>
      <c r="Z214" s="157"/>
      <c r="AA214" s="157"/>
      <c r="AB214" s="157"/>
      <c r="AC214" s="157"/>
    </row>
    <row r="215" spans="1:29" s="136" customFormat="1">
      <c r="A215" s="149">
        <f t="shared" si="9"/>
        <v>176</v>
      </c>
      <c r="B215" s="171" t="s">
        <v>513</v>
      </c>
      <c r="C215" s="137" t="str">
        <f>"Sum (Ln"&amp;A211&amp;" - Ln"&amp;A214&amp;")"</f>
        <v>Sum (Ln172 - Ln175)</v>
      </c>
      <c r="D215" s="157">
        <f>SUM(D211:D214)</f>
        <v>11235193.23</v>
      </c>
      <c r="E215" s="157"/>
      <c r="F215" s="168"/>
      <c r="G215" s="186"/>
      <c r="H215" s="159"/>
      <c r="I215" s="159"/>
      <c r="J215" s="157"/>
      <c r="K215" s="157"/>
      <c r="L215" s="157"/>
      <c r="M215" s="157"/>
      <c r="N215" s="157"/>
      <c r="O215" s="159"/>
      <c r="P215" s="159"/>
      <c r="Q215" s="159"/>
      <c r="R215" s="159"/>
      <c r="S215" s="159"/>
      <c r="T215" s="159"/>
      <c r="U215" s="159"/>
      <c r="V215" s="159"/>
      <c r="W215" s="159"/>
      <c r="X215" s="159"/>
      <c r="Y215" s="159"/>
      <c r="Z215" s="159"/>
      <c r="AA215" s="159"/>
      <c r="AB215" s="157"/>
      <c r="AC215" s="157"/>
    </row>
    <row r="216" spans="1:29" s="136" customFormat="1" ht="3" customHeight="1">
      <c r="A216" s="149"/>
      <c r="B216" s="171"/>
      <c r="C216" s="137"/>
      <c r="D216" s="157"/>
      <c r="E216" s="157"/>
      <c r="F216" s="168"/>
      <c r="G216" s="186"/>
      <c r="H216" s="159"/>
      <c r="I216" s="159"/>
      <c r="J216" s="157"/>
      <c r="K216" s="157"/>
      <c r="L216" s="157"/>
      <c r="M216" s="157"/>
      <c r="N216" s="157"/>
      <c r="O216" s="159"/>
      <c r="P216" s="159"/>
      <c r="Q216" s="159"/>
      <c r="R216" s="159"/>
      <c r="S216" s="159"/>
      <c r="T216" s="159"/>
      <c r="U216" s="159"/>
      <c r="V216" s="159"/>
      <c r="W216" s="159"/>
      <c r="X216" s="159"/>
      <c r="Y216" s="159"/>
      <c r="Z216" s="159"/>
      <c r="AA216" s="159"/>
      <c r="AB216" s="157"/>
      <c r="AC216" s="157"/>
    </row>
    <row r="217" spans="1:29" s="136" customFormat="1">
      <c r="A217" s="149">
        <f>A215+1</f>
        <v>177</v>
      </c>
      <c r="B217" s="156" t="s">
        <v>53</v>
      </c>
      <c r="C217" s="155" t="s">
        <v>514</v>
      </c>
      <c r="D217" s="206">
        <v>20348420</v>
      </c>
      <c r="E217" s="157"/>
      <c r="F217" s="185"/>
      <c r="G217" s="186"/>
      <c r="H217" s="159"/>
      <c r="I217" s="159"/>
      <c r="J217" s="157"/>
      <c r="K217" s="157"/>
      <c r="L217" s="157"/>
      <c r="M217" s="157"/>
      <c r="N217" s="157"/>
      <c r="O217" s="159"/>
      <c r="P217" s="159"/>
      <c r="Q217" s="159"/>
      <c r="R217" s="159"/>
      <c r="S217" s="159"/>
      <c r="T217" s="159"/>
      <c r="U217" s="159"/>
      <c r="V217" s="159"/>
      <c r="W217" s="159"/>
      <c r="X217" s="159"/>
      <c r="Y217" s="159"/>
      <c r="Z217" s="159"/>
      <c r="AA217" s="159"/>
      <c r="AB217" s="157"/>
      <c r="AC217" s="157"/>
    </row>
    <row r="218" spans="1:29" s="136" customFormat="1">
      <c r="A218" s="149">
        <f t="shared" ref="A218:A220" si="10">A217+1</f>
        <v>178</v>
      </c>
      <c r="B218" s="181" t="s">
        <v>390</v>
      </c>
      <c r="C218" s="155" t="s">
        <v>507</v>
      </c>
      <c r="D218" s="157">
        <f>'WP 16'!E41*-1</f>
        <v>-103511.23000000001</v>
      </c>
      <c r="E218" s="157"/>
      <c r="F218" s="196"/>
      <c r="G218" s="186"/>
      <c r="H218" s="159"/>
      <c r="I218" s="159"/>
      <c r="J218" s="157"/>
      <c r="K218" s="157"/>
      <c r="L218" s="157"/>
      <c r="M218" s="157"/>
      <c r="N218" s="157"/>
      <c r="O218" s="157"/>
      <c r="P218" s="157"/>
      <c r="Q218" s="157"/>
      <c r="R218" s="157"/>
      <c r="S218" s="157"/>
      <c r="T218" s="157"/>
      <c r="U218" s="157"/>
      <c r="V218" s="157"/>
      <c r="W218" s="157"/>
      <c r="X218" s="157"/>
      <c r="Y218" s="157"/>
      <c r="Z218" s="157"/>
      <c r="AA218" s="157"/>
      <c r="AB218" s="157"/>
      <c r="AC218" s="157"/>
    </row>
    <row r="219" spans="1:29" s="136" customFormat="1">
      <c r="A219" s="149">
        <f t="shared" si="10"/>
        <v>179</v>
      </c>
      <c r="B219" s="162" t="s">
        <v>508</v>
      </c>
      <c r="C219" s="137" t="s">
        <v>509</v>
      </c>
      <c r="D219" s="211">
        <v>2018372</v>
      </c>
      <c r="E219" s="209"/>
      <c r="F219" s="210"/>
      <c r="G219" s="186"/>
      <c r="H219" s="159"/>
      <c r="I219" s="159"/>
      <c r="J219" s="157"/>
      <c r="K219" s="157"/>
      <c r="L219" s="157"/>
      <c r="M219" s="157"/>
      <c r="N219" s="157"/>
      <c r="O219" s="159"/>
      <c r="P219" s="159"/>
      <c r="Q219" s="159"/>
      <c r="R219" s="159"/>
      <c r="S219" s="159"/>
      <c r="T219" s="159"/>
      <c r="U219" s="159"/>
      <c r="V219" s="159"/>
      <c r="W219" s="159"/>
      <c r="X219" s="159"/>
      <c r="Y219" s="159"/>
      <c r="Z219" s="159"/>
      <c r="AA219" s="159"/>
      <c r="AB219" s="157"/>
      <c r="AC219" s="157"/>
    </row>
    <row r="220" spans="1:29" s="136" customFormat="1">
      <c r="A220" s="149">
        <f t="shared" si="10"/>
        <v>180</v>
      </c>
      <c r="B220" s="171" t="s">
        <v>515</v>
      </c>
      <c r="C220" s="137" t="str">
        <f>"Sum (Ln"&amp;A217&amp;" - Ln"&amp;A219&amp;")"</f>
        <v>Sum (Ln177 - Ln179)</v>
      </c>
      <c r="D220" s="157">
        <f>SUM(D217:D219)</f>
        <v>22263280.77</v>
      </c>
      <c r="E220" s="157"/>
      <c r="F220" s="185"/>
      <c r="G220" s="186"/>
      <c r="H220" s="159"/>
      <c r="I220" s="159"/>
      <c r="J220" s="157"/>
      <c r="K220" s="157"/>
      <c r="L220" s="157"/>
      <c r="M220" s="157"/>
      <c r="N220" s="157"/>
      <c r="O220" s="159"/>
      <c r="P220" s="159"/>
      <c r="Q220" s="159"/>
      <c r="R220" s="159"/>
      <c r="S220" s="159"/>
      <c r="T220" s="159"/>
      <c r="U220" s="159"/>
      <c r="V220" s="159"/>
      <c r="W220" s="159"/>
      <c r="X220" s="159"/>
      <c r="Y220" s="159"/>
      <c r="Z220" s="159"/>
      <c r="AA220" s="159"/>
      <c r="AB220" s="157"/>
      <c r="AC220" s="157"/>
    </row>
    <row r="221" spans="1:29" s="136" customFormat="1" ht="3" customHeight="1">
      <c r="A221" s="149"/>
      <c r="B221" s="171"/>
      <c r="C221" s="155"/>
      <c r="D221" s="157"/>
      <c r="E221" s="157"/>
      <c r="F221" s="196"/>
      <c r="G221" s="186"/>
      <c r="H221" s="159"/>
      <c r="I221" s="159"/>
      <c r="J221" s="157"/>
      <c r="K221" s="157"/>
      <c r="L221" s="157"/>
      <c r="M221" s="157"/>
      <c r="N221" s="157"/>
      <c r="O221" s="159"/>
      <c r="P221" s="159"/>
      <c r="Q221" s="159"/>
      <c r="R221" s="159"/>
      <c r="S221" s="159"/>
      <c r="T221" s="159"/>
      <c r="U221" s="159"/>
      <c r="V221" s="159"/>
      <c r="W221" s="159"/>
      <c r="X221" s="159"/>
      <c r="Y221" s="159"/>
      <c r="Z221" s="159"/>
      <c r="AA221" s="159"/>
      <c r="AB221" s="157"/>
      <c r="AC221" s="157"/>
    </row>
    <row r="222" spans="1:29" s="136" customFormat="1">
      <c r="A222" s="149">
        <f>A220+1</f>
        <v>181</v>
      </c>
      <c r="B222" s="156" t="s">
        <v>202</v>
      </c>
      <c r="C222" s="155" t="s">
        <v>516</v>
      </c>
      <c r="D222" s="207">
        <v>5847532</v>
      </c>
      <c r="E222" s="157"/>
      <c r="F222" s="196"/>
      <c r="G222" s="186"/>
      <c r="H222" s="159"/>
      <c r="I222" s="159"/>
      <c r="J222" s="157"/>
      <c r="K222" s="157"/>
      <c r="L222" s="157"/>
      <c r="M222" s="157"/>
      <c r="N222" s="157"/>
      <c r="O222" s="159"/>
      <c r="P222" s="159"/>
      <c r="Q222" s="159"/>
      <c r="R222" s="159"/>
      <c r="S222" s="159"/>
      <c r="T222" s="159"/>
      <c r="U222" s="159"/>
      <c r="V222" s="159"/>
      <c r="W222" s="159"/>
      <c r="X222" s="159"/>
      <c r="Y222" s="159"/>
      <c r="Z222" s="159"/>
      <c r="AA222" s="159"/>
      <c r="AB222" s="157"/>
      <c r="AC222" s="157"/>
    </row>
    <row r="223" spans="1:29" s="136" customFormat="1">
      <c r="A223" s="149">
        <f t="shared" ref="A223:A231" si="11">A222+1</f>
        <v>182</v>
      </c>
      <c r="B223" s="169" t="s">
        <v>388</v>
      </c>
      <c r="C223" s="155" t="s">
        <v>498</v>
      </c>
      <c r="D223" s="157">
        <f>'WP 15'!C58*-1</f>
        <v>-41.659999999999989</v>
      </c>
      <c r="E223" s="157"/>
      <c r="F223" s="187"/>
      <c r="G223" s="186"/>
      <c r="H223" s="159"/>
      <c r="I223" s="159"/>
      <c r="J223" s="157"/>
      <c r="K223" s="157"/>
      <c r="L223" s="157"/>
      <c r="M223" s="157"/>
      <c r="N223" s="157"/>
      <c r="O223" s="157"/>
      <c r="P223" s="157"/>
      <c r="Q223" s="157"/>
      <c r="R223" s="157"/>
      <c r="S223" s="157"/>
      <c r="T223" s="157"/>
      <c r="U223" s="157"/>
      <c r="V223" s="157"/>
      <c r="W223" s="157"/>
      <c r="X223" s="157"/>
      <c r="Y223" s="157"/>
      <c r="Z223" s="157"/>
      <c r="AA223" s="157"/>
      <c r="AB223" s="157"/>
      <c r="AC223" s="157"/>
    </row>
    <row r="224" spans="1:29" s="136" customFormat="1">
      <c r="A224" s="149">
        <f t="shared" si="11"/>
        <v>183</v>
      </c>
      <c r="B224" s="162" t="s">
        <v>517</v>
      </c>
      <c r="C224" s="137" t="s">
        <v>509</v>
      </c>
      <c r="D224" s="206">
        <v>6331538</v>
      </c>
      <c r="E224" s="157"/>
      <c r="F224" s="196"/>
      <c r="G224" s="184"/>
      <c r="H224" s="159"/>
      <c r="I224" s="159"/>
      <c r="J224" s="157"/>
      <c r="K224" s="157"/>
      <c r="L224" s="157"/>
      <c r="M224" s="157"/>
      <c r="N224" s="157"/>
      <c r="O224" s="159"/>
      <c r="P224" s="159"/>
      <c r="Q224" s="159"/>
      <c r="R224" s="159"/>
      <c r="S224" s="159"/>
      <c r="T224" s="159"/>
      <c r="U224" s="159"/>
      <c r="V224" s="159"/>
      <c r="W224" s="159"/>
      <c r="X224" s="159"/>
      <c r="Y224" s="159"/>
      <c r="Z224" s="159"/>
      <c r="AA224" s="159"/>
      <c r="AB224" s="157"/>
      <c r="AC224" s="157"/>
    </row>
    <row r="225" spans="1:29" s="136" customFormat="1">
      <c r="A225" s="149">
        <f t="shared" si="11"/>
        <v>184</v>
      </c>
      <c r="B225" s="162" t="s">
        <v>518</v>
      </c>
      <c r="C225" s="155" t="s">
        <v>519</v>
      </c>
      <c r="D225" s="207">
        <v>4008322</v>
      </c>
      <c r="E225" s="157"/>
      <c r="F225" s="196"/>
      <c r="G225" s="186"/>
      <c r="H225" s="159"/>
      <c r="I225" s="159"/>
      <c r="J225" s="157"/>
      <c r="K225" s="157"/>
      <c r="L225" s="157"/>
      <c r="M225" s="157"/>
      <c r="N225" s="157"/>
      <c r="O225" s="159"/>
      <c r="P225" s="159"/>
      <c r="Q225" s="159"/>
      <c r="R225" s="159"/>
      <c r="S225" s="159"/>
      <c r="T225" s="159"/>
      <c r="U225" s="159"/>
      <c r="V225" s="159"/>
      <c r="W225" s="159"/>
      <c r="X225" s="159"/>
      <c r="Y225" s="159"/>
      <c r="Z225" s="159"/>
      <c r="AA225" s="159"/>
      <c r="AB225" s="157"/>
      <c r="AC225" s="157"/>
    </row>
    <row r="226" spans="1:29" s="136" customFormat="1">
      <c r="A226" s="149">
        <f t="shared" si="11"/>
        <v>185</v>
      </c>
      <c r="B226" s="169" t="s">
        <v>388</v>
      </c>
      <c r="C226" s="155" t="s">
        <v>498</v>
      </c>
      <c r="D226" s="157">
        <f>'WP 15'!C59*-1</f>
        <v>0</v>
      </c>
      <c r="E226" s="157"/>
      <c r="F226" s="187"/>
      <c r="G226" s="186"/>
      <c r="H226" s="159"/>
      <c r="I226" s="159"/>
      <c r="J226" s="157"/>
      <c r="K226" s="157"/>
      <c r="L226" s="157"/>
      <c r="M226" s="157"/>
      <c r="N226" s="157"/>
      <c r="O226" s="157"/>
      <c r="P226" s="157"/>
      <c r="Q226" s="157"/>
      <c r="R226" s="157"/>
      <c r="S226" s="157"/>
      <c r="T226" s="157"/>
      <c r="U226" s="157"/>
      <c r="V226" s="157"/>
      <c r="W226" s="157"/>
      <c r="X226" s="157"/>
      <c r="Y226" s="157"/>
      <c r="Z226" s="157"/>
      <c r="AA226" s="157"/>
      <c r="AB226" s="157"/>
      <c r="AC226" s="157"/>
    </row>
    <row r="227" spans="1:29" s="136" customFormat="1">
      <c r="A227" s="149">
        <f t="shared" si="11"/>
        <v>186</v>
      </c>
      <c r="B227" s="181" t="s">
        <v>390</v>
      </c>
      <c r="C227" s="155" t="s">
        <v>507</v>
      </c>
      <c r="D227" s="157">
        <f>'WP 16'!E42*-1</f>
        <v>-76.83</v>
      </c>
      <c r="E227" s="157"/>
      <c r="F227" s="196"/>
      <c r="G227" s="186"/>
      <c r="H227" s="159"/>
      <c r="I227" s="159"/>
      <c r="J227" s="157"/>
      <c r="K227" s="157"/>
      <c r="L227" s="157"/>
      <c r="M227" s="157"/>
      <c r="N227" s="157"/>
      <c r="O227" s="157"/>
      <c r="P227" s="157"/>
      <c r="Q227" s="157"/>
      <c r="R227" s="157"/>
      <c r="S227" s="157"/>
      <c r="T227" s="157"/>
      <c r="U227" s="157"/>
      <c r="V227" s="157"/>
      <c r="W227" s="157"/>
      <c r="X227" s="157"/>
      <c r="Y227" s="157"/>
      <c r="Z227" s="157"/>
      <c r="AA227" s="157"/>
      <c r="AB227" s="157"/>
      <c r="AC227" s="157"/>
    </row>
    <row r="228" spans="1:29" s="136" customFormat="1">
      <c r="A228" s="149">
        <f t="shared" si="11"/>
        <v>187</v>
      </c>
      <c r="B228" s="162" t="s">
        <v>520</v>
      </c>
      <c r="C228" s="137" t="s">
        <v>509</v>
      </c>
      <c r="D228" s="206">
        <v>926299</v>
      </c>
      <c r="E228" s="157"/>
      <c r="F228" s="196"/>
      <c r="G228" s="186"/>
      <c r="H228" s="159"/>
      <c r="I228" s="159"/>
      <c r="J228" s="157"/>
      <c r="K228" s="157"/>
      <c r="L228" s="157"/>
      <c r="M228" s="157"/>
      <c r="N228" s="157"/>
      <c r="O228" s="159"/>
      <c r="P228" s="159"/>
      <c r="Q228" s="159"/>
      <c r="R228" s="159"/>
      <c r="S228" s="159"/>
      <c r="T228" s="159"/>
      <c r="U228" s="159"/>
      <c r="V228" s="159"/>
      <c r="W228" s="159"/>
      <c r="X228" s="159"/>
      <c r="Y228" s="159"/>
      <c r="Z228" s="159"/>
      <c r="AA228" s="159"/>
      <c r="AB228" s="157"/>
      <c r="AC228" s="157"/>
    </row>
    <row r="229" spans="1:29" s="136" customFormat="1">
      <c r="A229" s="149">
        <f t="shared" si="11"/>
        <v>188</v>
      </c>
      <c r="B229" s="156" t="s">
        <v>521</v>
      </c>
      <c r="C229" s="155" t="s">
        <v>522</v>
      </c>
      <c r="D229" s="207">
        <v>0</v>
      </c>
      <c r="E229" s="157"/>
      <c r="F229" s="168"/>
      <c r="G229" s="186"/>
      <c r="H229" s="159"/>
      <c r="I229" s="159"/>
      <c r="J229" s="157"/>
      <c r="K229" s="157"/>
      <c r="L229" s="157"/>
      <c r="M229" s="157"/>
      <c r="N229" s="157"/>
      <c r="O229" s="159"/>
      <c r="P229" s="159"/>
      <c r="Q229" s="159"/>
      <c r="R229" s="159"/>
      <c r="S229" s="159"/>
      <c r="T229" s="159"/>
      <c r="U229" s="159"/>
      <c r="V229" s="159"/>
      <c r="W229" s="159"/>
      <c r="X229" s="159"/>
      <c r="Y229" s="159"/>
      <c r="Z229" s="159"/>
      <c r="AA229" s="159"/>
      <c r="AB229" s="157"/>
      <c r="AC229" s="157"/>
    </row>
    <row r="230" spans="1:29" s="136" customFormat="1">
      <c r="A230" s="149">
        <f t="shared" si="11"/>
        <v>189</v>
      </c>
      <c r="B230" s="162" t="s">
        <v>523</v>
      </c>
      <c r="C230" s="137" t="s">
        <v>509</v>
      </c>
      <c r="D230" s="211">
        <v>224160</v>
      </c>
      <c r="E230" s="209"/>
      <c r="F230" s="212"/>
      <c r="G230" s="213"/>
      <c r="H230" s="151"/>
      <c r="I230" s="159"/>
      <c r="J230" s="157"/>
      <c r="K230" s="157"/>
      <c r="L230" s="157"/>
      <c r="M230" s="157"/>
      <c r="N230" s="157"/>
      <c r="O230" s="159"/>
      <c r="P230" s="157"/>
      <c r="Q230" s="157"/>
      <c r="R230" s="159"/>
      <c r="S230" s="157"/>
      <c r="T230" s="157"/>
      <c r="U230" s="159"/>
      <c r="V230" s="157"/>
      <c r="W230" s="157"/>
      <c r="X230" s="159"/>
      <c r="Y230" s="157"/>
      <c r="Z230" s="157"/>
      <c r="AA230" s="159"/>
      <c r="AB230" s="157"/>
      <c r="AC230" s="157"/>
    </row>
    <row r="231" spans="1:29" s="136" customFormat="1">
      <c r="A231" s="149">
        <f t="shared" si="11"/>
        <v>190</v>
      </c>
      <c r="B231" s="171" t="s">
        <v>474</v>
      </c>
      <c r="C231" s="137" t="str">
        <f>"Sum (L"&amp;A222&amp;" - L"&amp;A230&amp;")"</f>
        <v>Sum (L181 - L189)</v>
      </c>
      <c r="D231" s="159">
        <f>SUM(D222:D230)</f>
        <v>17337732.509999998</v>
      </c>
      <c r="E231" s="157"/>
      <c r="F231" s="202"/>
      <c r="G231" s="152"/>
      <c r="H231" s="178"/>
      <c r="I231" s="159"/>
      <c r="J231" s="157"/>
      <c r="K231" s="157"/>
      <c r="L231" s="157"/>
      <c r="M231" s="157"/>
      <c r="N231" s="157"/>
      <c r="O231" s="159"/>
      <c r="P231" s="157"/>
      <c r="Q231" s="157"/>
      <c r="R231" s="159"/>
      <c r="S231" s="157"/>
      <c r="T231" s="157"/>
      <c r="U231" s="159"/>
      <c r="V231" s="157"/>
      <c r="W231" s="157"/>
      <c r="X231" s="159"/>
      <c r="Y231" s="157"/>
      <c r="Z231" s="157"/>
      <c r="AA231" s="159"/>
      <c r="AB231" s="157"/>
      <c r="AC231" s="157"/>
    </row>
    <row r="232" spans="1:29" s="136" customFormat="1" ht="3" customHeight="1">
      <c r="A232" s="149"/>
      <c r="B232" s="171"/>
      <c r="C232" s="155"/>
      <c r="D232" s="159"/>
      <c r="E232" s="157"/>
      <c r="F232" s="151"/>
      <c r="G232" s="152"/>
      <c r="H232" s="178"/>
      <c r="I232" s="159"/>
      <c r="J232" s="157"/>
      <c r="K232" s="157"/>
      <c r="L232" s="157"/>
      <c r="M232" s="157"/>
      <c r="N232" s="157"/>
      <c r="O232" s="159"/>
      <c r="P232" s="157"/>
      <c r="Q232" s="157"/>
      <c r="R232" s="159"/>
      <c r="S232" s="157"/>
      <c r="T232" s="157"/>
      <c r="U232" s="159"/>
      <c r="V232" s="157"/>
      <c r="W232" s="157"/>
      <c r="X232" s="159"/>
      <c r="Y232" s="157"/>
      <c r="Z232" s="157"/>
      <c r="AA232" s="159"/>
      <c r="AB232" s="157"/>
      <c r="AC232" s="157"/>
    </row>
    <row r="233" spans="1:29" s="136" customFormat="1">
      <c r="A233" s="149">
        <f>A231+1</f>
        <v>191</v>
      </c>
      <c r="B233" s="156" t="s">
        <v>56</v>
      </c>
      <c r="C233" s="137" t="str">
        <f>"Ln"&amp;A209&amp;"+Ln"&amp;A215&amp;"+Ln"&amp;A220&amp;"+Ln"&amp;A231</f>
        <v>Ln171+Ln176+Ln180+Ln190</v>
      </c>
      <c r="D233" s="157">
        <f>D209+D215+D220+D231</f>
        <v>178159453.24000001</v>
      </c>
      <c r="E233" s="157"/>
      <c r="F233" s="151"/>
      <c r="G233" s="152"/>
      <c r="H233" s="178"/>
      <c r="I233" s="159"/>
      <c r="J233" s="157"/>
      <c r="K233" s="157"/>
      <c r="L233" s="157"/>
      <c r="M233" s="157"/>
      <c r="N233" s="157"/>
      <c r="O233" s="157"/>
      <c r="P233" s="157"/>
      <c r="Q233" s="157"/>
      <c r="R233" s="157"/>
      <c r="S233" s="157"/>
      <c r="T233" s="157"/>
      <c r="U233" s="157"/>
      <c r="V233" s="157"/>
      <c r="W233" s="157"/>
      <c r="X233" s="157"/>
      <c r="Y233" s="157"/>
      <c r="Z233" s="157"/>
      <c r="AA233" s="157"/>
      <c r="AB233" s="157"/>
      <c r="AC233" s="157"/>
    </row>
    <row r="234" spans="1:29" s="136" customFormat="1">
      <c r="A234" s="149"/>
      <c r="C234" s="137"/>
      <c r="D234" s="157"/>
      <c r="E234" s="157"/>
      <c r="F234" s="139"/>
      <c r="G234" s="140"/>
      <c r="H234" s="160"/>
      <c r="I234" s="157"/>
      <c r="J234" s="157"/>
      <c r="K234" s="157"/>
      <c r="L234" s="157"/>
      <c r="M234" s="157"/>
      <c r="N234" s="157"/>
      <c r="O234" s="157"/>
      <c r="P234" s="157"/>
      <c r="Q234" s="157"/>
      <c r="R234" s="157"/>
      <c r="S234" s="157"/>
      <c r="T234" s="157"/>
      <c r="U234" s="157"/>
      <c r="V234" s="157"/>
      <c r="W234" s="157"/>
      <c r="X234" s="157"/>
      <c r="Y234" s="157"/>
      <c r="Z234" s="157"/>
      <c r="AA234" s="157"/>
      <c r="AB234" s="157"/>
      <c r="AC234" s="157"/>
    </row>
    <row r="235" spans="1:29" s="136" customFormat="1">
      <c r="A235" s="149">
        <f>A233+1</f>
        <v>192</v>
      </c>
      <c r="B235" s="155" t="s">
        <v>524</v>
      </c>
      <c r="C235" s="137"/>
      <c r="D235" s="157"/>
      <c r="E235" s="157"/>
      <c r="J235" s="157"/>
      <c r="K235" s="157"/>
      <c r="L235" s="157"/>
      <c r="M235" s="157"/>
      <c r="N235" s="157"/>
      <c r="O235" s="157"/>
      <c r="P235" s="157"/>
      <c r="Q235" s="157"/>
      <c r="R235" s="157"/>
      <c r="S235" s="157"/>
      <c r="T235" s="157"/>
      <c r="U235" s="157"/>
      <c r="V235" s="157"/>
      <c r="W235" s="157"/>
      <c r="X235" s="157"/>
      <c r="Y235" s="157"/>
      <c r="Z235" s="157"/>
      <c r="AA235" s="157"/>
      <c r="AB235" s="157"/>
      <c r="AC235" s="157"/>
    </row>
    <row r="236" spans="1:29" s="136" customFormat="1">
      <c r="A236" s="149">
        <f>A235+1</f>
        <v>193</v>
      </c>
      <c r="B236" s="166" t="s">
        <v>525</v>
      </c>
      <c r="C236" s="137" t="s">
        <v>526</v>
      </c>
      <c r="D236" s="206">
        <v>8337944974</v>
      </c>
      <c r="E236" s="157"/>
      <c r="J236" s="157"/>
      <c r="K236" s="157"/>
      <c r="L236" s="157"/>
      <c r="M236" s="157"/>
      <c r="N236" s="157"/>
      <c r="O236" s="157"/>
      <c r="P236" s="157"/>
      <c r="Q236" s="157"/>
      <c r="R236" s="157"/>
      <c r="S236" s="157"/>
      <c r="T236" s="157"/>
      <c r="U236" s="157"/>
      <c r="V236" s="157"/>
      <c r="W236" s="157"/>
      <c r="X236" s="157"/>
      <c r="Y236" s="157"/>
      <c r="Z236" s="157"/>
      <c r="AA236" s="157"/>
      <c r="AB236" s="157"/>
      <c r="AC236" s="157"/>
    </row>
    <row r="237" spans="1:29" s="136" customFormat="1">
      <c r="A237" s="149">
        <f>A236+1</f>
        <v>194</v>
      </c>
      <c r="B237" s="166" t="s">
        <v>527</v>
      </c>
      <c r="C237" s="137" t="s">
        <v>528</v>
      </c>
      <c r="D237" s="206">
        <v>0</v>
      </c>
      <c r="E237" s="157"/>
      <c r="J237" s="157"/>
      <c r="K237" s="157"/>
      <c r="L237" s="157"/>
      <c r="M237" s="157"/>
      <c r="N237" s="157"/>
      <c r="O237" s="157"/>
      <c r="P237" s="157"/>
      <c r="Q237" s="157"/>
      <c r="R237" s="157"/>
      <c r="S237" s="157"/>
      <c r="T237" s="157"/>
      <c r="U237" s="157"/>
      <c r="V237" s="157"/>
      <c r="W237" s="157"/>
      <c r="X237" s="157"/>
      <c r="Y237" s="157"/>
      <c r="Z237" s="157"/>
      <c r="AA237" s="157"/>
      <c r="AB237" s="157"/>
      <c r="AC237" s="157"/>
    </row>
    <row r="238" spans="1:29" s="136" customFormat="1">
      <c r="A238" s="149">
        <f>A237+1</f>
        <v>195</v>
      </c>
      <c r="B238" s="166" t="s">
        <v>529</v>
      </c>
      <c r="C238" s="137" t="s">
        <v>530</v>
      </c>
      <c r="D238" s="206">
        <v>0</v>
      </c>
      <c r="E238" s="157"/>
      <c r="J238" s="157"/>
      <c r="K238" s="157"/>
      <c r="L238" s="157"/>
      <c r="M238" s="157"/>
      <c r="N238" s="157"/>
      <c r="O238" s="157"/>
      <c r="P238" s="157"/>
      <c r="Q238" s="157"/>
      <c r="R238" s="157"/>
    </row>
    <row r="239" spans="1:29" s="136" customFormat="1">
      <c r="A239" s="149"/>
      <c r="C239" s="137"/>
      <c r="D239" s="157"/>
      <c r="E239" s="157"/>
      <c r="J239" s="157"/>
      <c r="K239" s="157"/>
      <c r="L239" s="157"/>
      <c r="M239" s="157"/>
      <c r="N239" s="157"/>
      <c r="O239" s="157"/>
      <c r="P239" s="157"/>
      <c r="Q239" s="157"/>
      <c r="R239" s="157"/>
      <c r="S239" s="157"/>
      <c r="T239" s="157"/>
      <c r="U239" s="157"/>
      <c r="V239" s="157"/>
      <c r="W239" s="157"/>
      <c r="X239" s="157"/>
      <c r="Y239" s="157"/>
      <c r="Z239" s="157"/>
      <c r="AA239" s="157"/>
      <c r="AB239" s="157"/>
      <c r="AC239" s="157"/>
    </row>
    <row r="240" spans="1:29" s="136" customFormat="1">
      <c r="A240" s="149">
        <f>A238+1</f>
        <v>196</v>
      </c>
      <c r="B240" s="137" t="s">
        <v>531</v>
      </c>
      <c r="C240" s="137"/>
      <c r="D240" s="157"/>
      <c r="E240" s="157"/>
      <c r="J240" s="157"/>
      <c r="K240" s="157"/>
      <c r="L240" s="157"/>
      <c r="M240" s="157"/>
      <c r="N240" s="157"/>
      <c r="O240" s="157"/>
      <c r="P240" s="157"/>
      <c r="Q240" s="157"/>
      <c r="R240" s="157"/>
      <c r="S240" s="157"/>
      <c r="T240" s="157"/>
      <c r="U240" s="157"/>
      <c r="V240" s="157"/>
      <c r="W240" s="157"/>
      <c r="X240" s="157"/>
      <c r="Y240" s="157"/>
      <c r="Z240" s="157"/>
      <c r="AA240" s="157"/>
      <c r="AB240" s="157"/>
      <c r="AC240" s="157"/>
    </row>
    <row r="241" spans="1:29" s="136" customFormat="1">
      <c r="A241" s="149">
        <f>A240+1</f>
        <v>197</v>
      </c>
      <c r="B241" s="137" t="s">
        <v>532</v>
      </c>
      <c r="C241" s="137"/>
      <c r="D241" s="157"/>
      <c r="E241" s="157"/>
      <c r="J241" s="157"/>
      <c r="K241" s="157"/>
      <c r="L241" s="157"/>
      <c r="M241" s="157"/>
      <c r="N241" s="157"/>
      <c r="O241" s="157"/>
      <c r="P241" s="157"/>
      <c r="Q241" s="157"/>
      <c r="R241" s="157"/>
      <c r="S241" s="157"/>
      <c r="T241" s="157"/>
      <c r="U241" s="157"/>
      <c r="V241" s="157"/>
      <c r="W241" s="157"/>
      <c r="X241" s="157"/>
      <c r="Y241" s="157"/>
      <c r="Z241" s="157"/>
      <c r="AA241" s="157"/>
      <c r="AB241" s="157"/>
      <c r="AC241" s="157"/>
    </row>
    <row r="242" spans="1:29" s="136" customFormat="1" ht="12.75" customHeight="1">
      <c r="A242" s="149">
        <f t="shared" ref="A242:A248" si="12">A241+1</f>
        <v>198</v>
      </c>
      <c r="B242" s="156" t="s">
        <v>533</v>
      </c>
      <c r="C242" s="137" t="s">
        <v>534</v>
      </c>
      <c r="D242" s="206">
        <v>82282568</v>
      </c>
      <c r="E242" s="157"/>
      <c r="J242" s="157"/>
      <c r="K242" s="157"/>
      <c r="L242" s="157"/>
      <c r="M242" s="157"/>
      <c r="N242" s="157"/>
      <c r="O242" s="157"/>
      <c r="P242" s="157"/>
      <c r="Q242" s="157"/>
      <c r="R242" s="157"/>
      <c r="S242" s="157"/>
      <c r="T242" s="157"/>
      <c r="U242" s="157"/>
      <c r="V242" s="157"/>
      <c r="W242" s="157"/>
      <c r="X242" s="157"/>
      <c r="Y242" s="157"/>
      <c r="Z242" s="157"/>
      <c r="AA242" s="157"/>
      <c r="AB242" s="157"/>
      <c r="AC242" s="157"/>
    </row>
    <row r="243" spans="1:29" s="136" customFormat="1" ht="12.75" customHeight="1">
      <c r="A243" s="149">
        <f t="shared" si="12"/>
        <v>199</v>
      </c>
      <c r="B243" s="156" t="s">
        <v>535</v>
      </c>
      <c r="C243" s="137" t="s">
        <v>536</v>
      </c>
      <c r="D243" s="206">
        <v>1816333</v>
      </c>
      <c r="E243" s="157"/>
      <c r="J243" s="157"/>
      <c r="K243" s="157"/>
      <c r="L243" s="157"/>
      <c r="M243" s="157"/>
      <c r="N243" s="157"/>
      <c r="O243" s="157"/>
      <c r="P243" s="157"/>
      <c r="Q243" s="157"/>
      <c r="R243" s="157"/>
      <c r="S243" s="157"/>
      <c r="T243" s="157"/>
      <c r="U243" s="157"/>
      <c r="V243" s="157"/>
      <c r="W243" s="157"/>
      <c r="X243" s="157"/>
      <c r="Y243" s="157"/>
      <c r="Z243" s="157"/>
      <c r="AA243" s="157"/>
      <c r="AB243" s="157"/>
      <c r="AC243" s="157"/>
    </row>
    <row r="244" spans="1:29" s="136" customFormat="1" ht="12.75" customHeight="1">
      <c r="A244" s="149">
        <f t="shared" si="12"/>
        <v>200</v>
      </c>
      <c r="B244" s="156" t="s">
        <v>537</v>
      </c>
      <c r="C244" s="137" t="s">
        <v>538</v>
      </c>
      <c r="D244" s="206">
        <v>3223224</v>
      </c>
      <c r="E244" s="157"/>
      <c r="J244" s="157"/>
      <c r="K244" s="157"/>
      <c r="L244" s="157"/>
      <c r="M244" s="157"/>
      <c r="N244" s="157"/>
      <c r="O244" s="157"/>
      <c r="P244" s="157"/>
      <c r="Q244" s="157"/>
      <c r="R244" s="157"/>
      <c r="S244" s="157"/>
      <c r="T244" s="157"/>
      <c r="U244" s="157"/>
      <c r="V244" s="157"/>
      <c r="W244" s="157"/>
      <c r="X244" s="157"/>
      <c r="Y244" s="157"/>
      <c r="Z244" s="157"/>
      <c r="AA244" s="157"/>
      <c r="AB244" s="157"/>
      <c r="AC244" s="157"/>
    </row>
    <row r="245" spans="1:29" s="136" customFormat="1">
      <c r="A245" s="149">
        <f t="shared" si="12"/>
        <v>201</v>
      </c>
      <c r="B245" s="162" t="s">
        <v>539</v>
      </c>
      <c r="C245" s="137" t="s">
        <v>540</v>
      </c>
      <c r="D245" s="206">
        <v>0</v>
      </c>
      <c r="E245" s="157"/>
      <c r="J245" s="157"/>
      <c r="K245" s="157"/>
      <c r="L245" s="157"/>
      <c r="M245" s="157"/>
      <c r="N245" s="157"/>
      <c r="O245" s="157"/>
      <c r="P245" s="157"/>
      <c r="Q245" s="157"/>
      <c r="R245" s="157"/>
      <c r="S245" s="157"/>
      <c r="T245" s="157"/>
      <c r="U245" s="157"/>
      <c r="V245" s="157"/>
      <c r="W245" s="157"/>
      <c r="X245" s="157"/>
      <c r="Y245" s="157"/>
      <c r="Z245" s="157"/>
      <c r="AA245" s="157"/>
      <c r="AB245" s="157"/>
      <c r="AC245" s="157"/>
    </row>
    <row r="246" spans="1:29" s="136" customFormat="1">
      <c r="A246" s="149">
        <f t="shared" si="12"/>
        <v>202</v>
      </c>
      <c r="B246" s="162" t="s">
        <v>541</v>
      </c>
      <c r="C246" s="137" t="s">
        <v>542</v>
      </c>
      <c r="D246" s="206">
        <v>0</v>
      </c>
      <c r="E246" s="157"/>
      <c r="J246" s="157"/>
      <c r="K246" s="157"/>
      <c r="L246" s="157"/>
      <c r="M246" s="157"/>
      <c r="N246" s="157"/>
      <c r="O246" s="157"/>
      <c r="P246" s="157"/>
      <c r="Q246" s="157"/>
      <c r="R246" s="157"/>
      <c r="S246" s="157"/>
      <c r="T246" s="157"/>
      <c r="U246" s="157"/>
      <c r="V246" s="157"/>
      <c r="W246" s="157"/>
      <c r="X246" s="157"/>
      <c r="Y246" s="157"/>
      <c r="Z246" s="157"/>
      <c r="AA246" s="157"/>
      <c r="AB246" s="157"/>
      <c r="AC246" s="157"/>
    </row>
    <row r="247" spans="1:29" s="136" customFormat="1">
      <c r="A247" s="149">
        <f t="shared" si="12"/>
        <v>203</v>
      </c>
      <c r="B247" s="156" t="s">
        <v>543</v>
      </c>
      <c r="C247" s="137" t="s">
        <v>544</v>
      </c>
      <c r="D247" s="208">
        <v>72448</v>
      </c>
      <c r="E247" s="157"/>
      <c r="J247" s="157"/>
      <c r="K247" s="157"/>
      <c r="L247" s="157"/>
      <c r="M247" s="157"/>
      <c r="N247" s="157"/>
      <c r="O247" s="157"/>
      <c r="P247" s="157"/>
      <c r="Q247" s="157"/>
      <c r="R247" s="157"/>
      <c r="S247" s="157"/>
      <c r="T247" s="157"/>
      <c r="U247" s="157"/>
      <c r="V247" s="157"/>
      <c r="W247" s="157"/>
      <c r="X247" s="157"/>
      <c r="Y247" s="157"/>
      <c r="Z247" s="157"/>
      <c r="AA247" s="157"/>
      <c r="AB247" s="157"/>
      <c r="AC247" s="157"/>
    </row>
    <row r="248" spans="1:29" s="136" customFormat="1" ht="24">
      <c r="A248" s="149">
        <f t="shared" si="12"/>
        <v>204</v>
      </c>
      <c r="B248" s="171" t="s">
        <v>545</v>
      </c>
      <c r="C248" s="179" t="str">
        <f>"Ln"&amp;A242&amp;"+Ln"&amp;A243&amp;"+Ln"&amp;A244&amp;"-Ln"&amp;A245&amp;"-Ln"&amp;A246&amp;"+Ln"&amp;A247</f>
        <v>Ln198+Ln199+Ln200-Ln201-Ln202+Ln203</v>
      </c>
      <c r="D248" s="157">
        <f>D242+D243+D244-D245-D246+D247</f>
        <v>87394573</v>
      </c>
      <c r="E248" s="157"/>
      <c r="F248" s="179"/>
      <c r="J248" s="157"/>
      <c r="K248" s="157"/>
      <c r="L248" s="157"/>
      <c r="M248" s="157"/>
      <c r="N248" s="157"/>
      <c r="O248" s="157"/>
      <c r="P248" s="157"/>
      <c r="Q248" s="157"/>
      <c r="R248" s="157"/>
      <c r="S248" s="157"/>
      <c r="T248" s="157"/>
      <c r="U248" s="157"/>
      <c r="V248" s="157"/>
      <c r="W248" s="157"/>
      <c r="X248" s="157"/>
      <c r="Y248" s="157"/>
      <c r="Z248" s="157"/>
      <c r="AA248" s="157"/>
      <c r="AB248" s="157"/>
      <c r="AC248" s="157"/>
    </row>
    <row r="249" spans="1:29" s="136" customFormat="1">
      <c r="A249" s="149">
        <f>A248+1</f>
        <v>205</v>
      </c>
      <c r="B249" s="166" t="s">
        <v>546</v>
      </c>
      <c r="C249" s="137" t="s">
        <v>547</v>
      </c>
      <c r="D249" s="206">
        <v>6873220</v>
      </c>
      <c r="E249" s="157"/>
      <c r="J249" s="157"/>
      <c r="K249" s="157"/>
      <c r="L249" s="157"/>
      <c r="M249" s="157"/>
      <c r="N249" s="157"/>
      <c r="O249" s="157"/>
      <c r="P249" s="157"/>
      <c r="Q249" s="157"/>
      <c r="R249" s="157"/>
      <c r="S249" s="157"/>
      <c r="T249" s="157"/>
      <c r="U249" s="157"/>
      <c r="V249" s="157"/>
      <c r="W249" s="157"/>
      <c r="X249" s="157"/>
      <c r="Y249" s="157"/>
      <c r="Z249" s="157"/>
      <c r="AA249" s="157"/>
      <c r="AB249" s="157"/>
      <c r="AC249" s="157"/>
    </row>
    <row r="250" spans="1:29" s="136" customFormat="1" ht="3" customHeight="1">
      <c r="A250" s="149"/>
      <c r="C250" s="137"/>
      <c r="D250" s="157"/>
      <c r="E250" s="157"/>
      <c r="J250" s="157"/>
      <c r="K250" s="157"/>
      <c r="L250" s="157"/>
      <c r="M250" s="157"/>
      <c r="N250" s="157"/>
      <c r="O250" s="157"/>
      <c r="P250" s="157"/>
      <c r="Q250" s="157"/>
      <c r="R250" s="157"/>
      <c r="S250" s="157"/>
      <c r="T250" s="157"/>
      <c r="U250" s="157"/>
      <c r="V250" s="157"/>
      <c r="W250" s="157"/>
      <c r="X250" s="157"/>
      <c r="Y250" s="157"/>
      <c r="Z250" s="157"/>
      <c r="AA250" s="157"/>
      <c r="AB250" s="157"/>
      <c r="AC250" s="157"/>
    </row>
    <row r="251" spans="1:29" s="136" customFormat="1">
      <c r="A251" s="149">
        <f>A249+1</f>
        <v>206</v>
      </c>
      <c r="B251" s="136" t="s">
        <v>548</v>
      </c>
      <c r="C251" s="137" t="s">
        <v>549</v>
      </c>
      <c r="D251" s="206">
        <v>1836041300</v>
      </c>
      <c r="E251" s="157"/>
      <c r="J251" s="157"/>
      <c r="K251" s="157"/>
      <c r="L251" s="157"/>
      <c r="M251" s="157"/>
      <c r="N251" s="157"/>
      <c r="O251" s="157"/>
      <c r="P251" s="157"/>
      <c r="Q251" s="157"/>
      <c r="R251" s="157"/>
      <c r="S251" s="157"/>
      <c r="T251" s="157"/>
      <c r="U251" s="157"/>
      <c r="V251" s="157"/>
      <c r="W251" s="157"/>
      <c r="X251" s="157"/>
      <c r="Y251" s="157"/>
      <c r="Z251" s="157"/>
      <c r="AA251" s="157"/>
      <c r="AB251" s="157"/>
      <c r="AC251" s="157"/>
    </row>
    <row r="252" spans="1:29" s="136" customFormat="1">
      <c r="A252" s="149">
        <f>A251+1</f>
        <v>207</v>
      </c>
      <c r="B252" s="166" t="s">
        <v>550</v>
      </c>
      <c r="C252" s="137" t="s">
        <v>551</v>
      </c>
      <c r="D252" s="206">
        <f>116350000</f>
        <v>116350000</v>
      </c>
      <c r="E252" s="157"/>
      <c r="J252" s="157"/>
      <c r="K252" s="157"/>
      <c r="L252" s="157"/>
      <c r="M252" s="157"/>
      <c r="N252" s="157"/>
      <c r="O252" s="157"/>
      <c r="P252" s="157"/>
      <c r="Q252" s="157"/>
      <c r="R252" s="157"/>
      <c r="S252" s="157"/>
      <c r="T252" s="157"/>
      <c r="U252" s="157"/>
      <c r="V252" s="157"/>
      <c r="W252" s="157"/>
      <c r="X252" s="157"/>
      <c r="Y252" s="157"/>
      <c r="Z252" s="157"/>
      <c r="AA252" s="157"/>
      <c r="AB252" s="157"/>
      <c r="AC252" s="157"/>
    </row>
    <row r="253" spans="1:29" s="136" customFormat="1">
      <c r="A253" s="149">
        <f>A252+1</f>
        <v>208</v>
      </c>
      <c r="B253" s="166" t="s">
        <v>552</v>
      </c>
      <c r="C253" s="137" t="s">
        <v>553</v>
      </c>
      <c r="D253" s="206">
        <v>938933</v>
      </c>
      <c r="E253" s="157"/>
      <c r="J253" s="157"/>
      <c r="K253" s="157"/>
      <c r="L253" s="157"/>
      <c r="M253" s="157"/>
      <c r="N253" s="157"/>
      <c r="O253" s="157"/>
      <c r="P253" s="157"/>
      <c r="Q253" s="157"/>
      <c r="R253" s="157"/>
      <c r="S253" s="157"/>
      <c r="T253" s="157"/>
      <c r="U253" s="157"/>
      <c r="V253" s="157"/>
      <c r="W253" s="157"/>
      <c r="X253" s="157"/>
      <c r="Y253" s="157"/>
      <c r="Z253" s="157"/>
      <c r="AA253" s="157"/>
      <c r="AB253" s="157"/>
      <c r="AC253" s="157"/>
    </row>
    <row r="254" spans="1:29" s="136" customFormat="1" ht="3" customHeight="1">
      <c r="A254" s="149"/>
      <c r="B254" s="166"/>
      <c r="C254" s="137"/>
      <c r="D254" s="206"/>
      <c r="E254" s="157"/>
      <c r="J254" s="157"/>
      <c r="K254" s="157"/>
      <c r="L254" s="157"/>
      <c r="M254" s="157"/>
      <c r="N254" s="157"/>
      <c r="O254" s="157"/>
      <c r="P254" s="157"/>
      <c r="Q254" s="157"/>
      <c r="R254" s="157"/>
      <c r="S254" s="157"/>
      <c r="T254" s="157"/>
      <c r="U254" s="157"/>
      <c r="V254" s="157"/>
      <c r="W254" s="157"/>
      <c r="X254" s="157"/>
      <c r="Y254" s="157"/>
      <c r="Z254" s="157"/>
      <c r="AA254" s="157"/>
      <c r="AB254" s="157"/>
      <c r="AC254" s="157"/>
    </row>
    <row r="255" spans="1:29" s="136" customFormat="1">
      <c r="A255" s="149">
        <f>A253+1</f>
        <v>209</v>
      </c>
      <c r="B255" s="156" t="s">
        <v>554</v>
      </c>
      <c r="C255" s="137" t="s">
        <v>555</v>
      </c>
      <c r="D255" s="206">
        <v>1600000000</v>
      </c>
      <c r="E255" s="157"/>
      <c r="J255" s="157"/>
      <c r="K255" s="157"/>
      <c r="L255" s="157"/>
      <c r="M255" s="157"/>
      <c r="N255" s="157"/>
      <c r="O255" s="157"/>
      <c r="P255" s="157"/>
      <c r="Q255" s="157"/>
      <c r="R255" s="157"/>
      <c r="S255" s="157"/>
      <c r="T255" s="157"/>
      <c r="U255" s="157"/>
      <c r="V255" s="157"/>
      <c r="W255" s="157"/>
      <c r="X255" s="157"/>
      <c r="Y255" s="157"/>
      <c r="Z255" s="157"/>
      <c r="AA255" s="157"/>
      <c r="AB255" s="157"/>
      <c r="AC255" s="157"/>
    </row>
    <row r="256" spans="1:29" s="136" customFormat="1">
      <c r="A256" s="149">
        <f>A255+1</f>
        <v>210</v>
      </c>
      <c r="B256" s="162" t="s">
        <v>556</v>
      </c>
      <c r="C256" s="137" t="s">
        <v>557</v>
      </c>
      <c r="D256" s="206">
        <v>0</v>
      </c>
      <c r="E256" s="157"/>
      <c r="J256" s="157"/>
      <c r="K256" s="157"/>
      <c r="L256" s="157"/>
      <c r="M256" s="157"/>
      <c r="N256" s="157"/>
      <c r="O256" s="157"/>
      <c r="P256" s="157"/>
      <c r="Q256" s="157"/>
      <c r="R256" s="157"/>
      <c r="S256" s="157"/>
      <c r="T256" s="157"/>
      <c r="U256" s="157"/>
      <c r="V256" s="157"/>
      <c r="W256" s="157"/>
      <c r="X256" s="157"/>
      <c r="Y256" s="157"/>
      <c r="Z256" s="157"/>
      <c r="AA256" s="157"/>
      <c r="AB256" s="157"/>
      <c r="AC256" s="157"/>
    </row>
    <row r="257" spans="1:29" s="136" customFormat="1">
      <c r="A257" s="149">
        <f>A256+1</f>
        <v>211</v>
      </c>
      <c r="B257" s="156" t="s">
        <v>558</v>
      </c>
      <c r="C257" s="155" t="s">
        <v>559</v>
      </c>
      <c r="D257" s="206">
        <v>0</v>
      </c>
      <c r="E257" s="157"/>
      <c r="J257" s="157"/>
      <c r="K257" s="157"/>
      <c r="L257" s="157"/>
      <c r="M257" s="157"/>
      <c r="N257" s="157"/>
      <c r="O257" s="157"/>
      <c r="P257" s="157"/>
      <c r="Q257" s="157"/>
      <c r="R257" s="157"/>
      <c r="S257" s="157"/>
      <c r="T257" s="157"/>
      <c r="U257" s="157"/>
      <c r="V257" s="157"/>
      <c r="W257" s="157"/>
      <c r="X257" s="157"/>
      <c r="Y257" s="157"/>
      <c r="Z257" s="157"/>
      <c r="AA257" s="157"/>
      <c r="AB257" s="157"/>
      <c r="AC257" s="157"/>
    </row>
    <row r="258" spans="1:29" s="136" customFormat="1">
      <c r="A258" s="149">
        <f>A257+1</f>
        <v>212</v>
      </c>
      <c r="B258" s="156" t="s">
        <v>560</v>
      </c>
      <c r="C258" s="137" t="s">
        <v>561</v>
      </c>
      <c r="D258" s="208">
        <v>533054842</v>
      </c>
      <c r="E258" s="157"/>
      <c r="J258" s="157"/>
      <c r="K258" s="157"/>
      <c r="L258" s="157"/>
      <c r="M258" s="157"/>
      <c r="N258" s="157"/>
      <c r="O258" s="157"/>
      <c r="P258" s="157"/>
      <c r="Q258" s="157"/>
      <c r="R258" s="157"/>
      <c r="S258" s="157"/>
      <c r="T258" s="157"/>
      <c r="U258" s="157"/>
      <c r="V258" s="157"/>
      <c r="W258" s="157"/>
      <c r="X258" s="157"/>
      <c r="Y258" s="157"/>
      <c r="Z258" s="157"/>
      <c r="AA258" s="157"/>
      <c r="AB258" s="157"/>
      <c r="AC258" s="157"/>
    </row>
    <row r="259" spans="1:29" s="136" customFormat="1">
      <c r="A259" s="149">
        <f>A258+1</f>
        <v>213</v>
      </c>
      <c r="B259" s="136" t="s">
        <v>562</v>
      </c>
      <c r="C259" s="137" t="str">
        <f>"Ln"&amp;A255&amp;"-Ln"&amp;A256&amp;"+Ln"&amp;A257&amp;"+Ln"&amp;A258</f>
        <v>Ln209-Ln210+Ln211+Ln212</v>
      </c>
      <c r="D259" s="157">
        <f>D255-D256+D257+D258</f>
        <v>2133054842</v>
      </c>
      <c r="E259" s="157"/>
      <c r="J259" s="157"/>
      <c r="K259" s="157"/>
      <c r="L259" s="157"/>
      <c r="M259" s="157"/>
      <c r="N259" s="157"/>
      <c r="O259" s="157"/>
      <c r="P259" s="157"/>
      <c r="Q259" s="157"/>
      <c r="R259" s="157"/>
      <c r="S259" s="157"/>
      <c r="T259" s="157"/>
      <c r="U259" s="157"/>
      <c r="V259" s="157"/>
      <c r="W259" s="157"/>
      <c r="X259" s="157"/>
      <c r="Y259" s="157"/>
      <c r="Z259" s="157"/>
      <c r="AA259" s="157"/>
      <c r="AB259" s="157"/>
      <c r="AC259" s="157"/>
    </row>
    <row r="260" spans="1:29" ht="8.25" customHeight="1">
      <c r="A260" s="149"/>
    </row>
    <row r="261" spans="1:29">
      <c r="A261" s="149">
        <f>A259+1</f>
        <v>214</v>
      </c>
      <c r="B261" s="195" t="s">
        <v>563</v>
      </c>
      <c r="D261" s="157"/>
      <c r="E261" s="157"/>
      <c r="J261" s="160"/>
      <c r="K261" s="160"/>
      <c r="L261" s="160"/>
      <c r="M261" s="160"/>
      <c r="N261" s="160"/>
      <c r="O261" s="160"/>
      <c r="P261" s="160"/>
      <c r="Q261" s="160"/>
      <c r="R261" s="160"/>
      <c r="S261" s="160"/>
      <c r="T261" s="160"/>
      <c r="U261" s="160"/>
      <c r="V261" s="160"/>
      <c r="W261" s="160"/>
      <c r="X261" s="160"/>
      <c r="Y261" s="160"/>
      <c r="Z261" s="160"/>
      <c r="AA261" s="160"/>
      <c r="AB261" s="160"/>
      <c r="AC261" s="160"/>
    </row>
    <row r="262" spans="1:29">
      <c r="A262" s="149">
        <f>A261+1</f>
        <v>215</v>
      </c>
      <c r="B262" s="136" t="s">
        <v>564</v>
      </c>
      <c r="C262" s="137" t="s">
        <v>565</v>
      </c>
      <c r="D262" s="157">
        <v>0</v>
      </c>
      <c r="E262" s="157"/>
      <c r="J262" s="160"/>
      <c r="K262" s="160"/>
      <c r="L262" s="160"/>
      <c r="M262" s="160"/>
      <c r="N262" s="160"/>
      <c r="O262" s="160"/>
      <c r="P262" s="160"/>
      <c r="Q262" s="160"/>
      <c r="R262" s="160"/>
      <c r="S262" s="160"/>
      <c r="T262" s="160"/>
      <c r="U262" s="160"/>
      <c r="V262" s="160"/>
      <c r="W262" s="160"/>
      <c r="X262" s="160"/>
      <c r="Y262" s="160"/>
      <c r="Z262" s="160"/>
      <c r="AA262" s="160"/>
      <c r="AB262" s="160"/>
      <c r="AC262" s="160"/>
    </row>
    <row r="263" spans="1:29">
      <c r="A263" s="149">
        <f>A262+1</f>
        <v>216</v>
      </c>
      <c r="B263" s="136" t="s">
        <v>566</v>
      </c>
      <c r="C263" s="137" t="s">
        <v>565</v>
      </c>
      <c r="D263" s="157">
        <v>0</v>
      </c>
      <c r="E263" s="157"/>
      <c r="J263" s="160"/>
      <c r="K263" s="160"/>
      <c r="L263" s="160"/>
      <c r="M263" s="160"/>
      <c r="N263" s="160"/>
      <c r="O263" s="160"/>
      <c r="P263" s="160"/>
      <c r="Q263" s="160"/>
      <c r="R263" s="160"/>
      <c r="S263" s="160"/>
      <c r="T263" s="160"/>
      <c r="U263" s="160"/>
      <c r="V263" s="160"/>
      <c r="W263" s="160"/>
      <c r="X263" s="160"/>
      <c r="Y263" s="160"/>
      <c r="Z263" s="160"/>
      <c r="AA263" s="160"/>
      <c r="AB263" s="160"/>
      <c r="AC263" s="160"/>
    </row>
    <row r="264" spans="1:29" ht="8.25" customHeight="1">
      <c r="A264" s="149"/>
      <c r="D264" s="157"/>
      <c r="E264" s="157"/>
      <c r="J264" s="160"/>
      <c r="K264" s="160"/>
      <c r="L264" s="160"/>
      <c r="M264" s="160"/>
      <c r="N264" s="160"/>
      <c r="O264" s="160"/>
      <c r="P264" s="160"/>
      <c r="Q264" s="160"/>
      <c r="R264" s="160"/>
      <c r="S264" s="160"/>
      <c r="T264" s="160"/>
      <c r="U264" s="160"/>
      <c r="V264" s="160"/>
      <c r="W264" s="160"/>
      <c r="X264" s="160"/>
      <c r="Y264" s="160"/>
      <c r="Z264" s="160"/>
      <c r="AA264" s="160"/>
      <c r="AB264" s="160"/>
      <c r="AC264" s="160"/>
    </row>
    <row r="265" spans="1:29">
      <c r="A265" s="149">
        <f>A263+1</f>
        <v>217</v>
      </c>
      <c r="B265" s="195" t="s">
        <v>567</v>
      </c>
      <c r="D265" s="157"/>
      <c r="E265" s="157"/>
      <c r="J265" s="160"/>
      <c r="K265" s="160"/>
      <c r="L265" s="160"/>
      <c r="M265" s="160"/>
      <c r="N265" s="160"/>
      <c r="O265" s="160"/>
      <c r="P265" s="160"/>
      <c r="Q265" s="160"/>
      <c r="R265" s="160"/>
    </row>
    <row r="266" spans="1:29">
      <c r="A266" s="149">
        <f>A265+1</f>
        <v>218</v>
      </c>
      <c r="B266" s="137" t="s">
        <v>98</v>
      </c>
      <c r="C266" s="155"/>
      <c r="D266" s="157"/>
      <c r="E266" s="157"/>
      <c r="J266" s="160"/>
      <c r="K266" s="160"/>
      <c r="L266" s="160"/>
      <c r="M266" s="160"/>
      <c r="N266" s="160"/>
      <c r="O266" s="160"/>
      <c r="P266" s="160"/>
      <c r="Q266" s="160"/>
      <c r="R266" s="160"/>
    </row>
    <row r="267" spans="1:29">
      <c r="A267" s="149">
        <f t="shared" ref="A267:A278" si="13">A266+1</f>
        <v>219</v>
      </c>
      <c r="B267" s="171" t="s">
        <v>568</v>
      </c>
      <c r="C267" s="155" t="s">
        <v>569</v>
      </c>
      <c r="D267" s="157">
        <f>'WP 7'!E7</f>
        <v>42032.84</v>
      </c>
      <c r="E267" s="193"/>
      <c r="F267" s="148"/>
      <c r="G267" s="186"/>
      <c r="H267" s="159"/>
      <c r="I267" s="157"/>
      <c r="J267" s="160"/>
      <c r="K267" s="160"/>
      <c r="L267" s="160"/>
      <c r="M267" s="160"/>
      <c r="N267" s="160"/>
      <c r="O267" s="160"/>
      <c r="P267" s="160"/>
      <c r="Q267" s="160"/>
      <c r="R267" s="160"/>
    </row>
    <row r="268" spans="1:29" ht="3" customHeight="1">
      <c r="A268" s="149">
        <f t="shared" si="13"/>
        <v>220</v>
      </c>
      <c r="D268" s="157"/>
      <c r="E268" s="157"/>
      <c r="F268" s="140"/>
      <c r="G268" s="184"/>
      <c r="H268" s="159"/>
      <c r="I268" s="157"/>
      <c r="J268" s="160"/>
      <c r="K268" s="160"/>
      <c r="L268" s="160"/>
      <c r="M268" s="160"/>
      <c r="N268" s="160"/>
      <c r="O268" s="160"/>
      <c r="P268" s="160"/>
      <c r="Q268" s="160"/>
      <c r="R268" s="160"/>
    </row>
    <row r="269" spans="1:29">
      <c r="A269" s="149">
        <f t="shared" si="13"/>
        <v>221</v>
      </c>
      <c r="B269" s="155" t="s">
        <v>570</v>
      </c>
      <c r="C269" s="155" t="s">
        <v>571</v>
      </c>
      <c r="D269" s="157">
        <f>+'WP 8'!C6</f>
        <v>13109275.839999998</v>
      </c>
      <c r="F269" s="171"/>
      <c r="G269" s="186"/>
      <c r="H269" s="159"/>
      <c r="I269" s="157"/>
    </row>
    <row r="270" spans="1:29">
      <c r="A270" s="149">
        <f t="shared" si="13"/>
        <v>222</v>
      </c>
      <c r="B270" s="203" t="s">
        <v>572</v>
      </c>
      <c r="D270" s="157">
        <v>0</v>
      </c>
      <c r="F270" s="136"/>
      <c r="G270" s="186"/>
      <c r="H270" s="159"/>
      <c r="I270" s="157"/>
    </row>
    <row r="271" spans="1:29" ht="3" customHeight="1">
      <c r="A271" s="149">
        <f t="shared" si="13"/>
        <v>223</v>
      </c>
      <c r="D271" s="157"/>
      <c r="F271" s="166"/>
      <c r="G271" s="186"/>
      <c r="H271" s="159"/>
      <c r="I271" s="157"/>
    </row>
    <row r="272" spans="1:29">
      <c r="A272" s="149">
        <f t="shared" si="13"/>
        <v>224</v>
      </c>
      <c r="B272" s="166" t="s">
        <v>573</v>
      </c>
      <c r="D272" s="157">
        <v>0</v>
      </c>
      <c r="F272" s="136"/>
      <c r="G272" s="186"/>
      <c r="H272" s="159"/>
      <c r="I272" s="157"/>
    </row>
    <row r="273" spans="1:29">
      <c r="A273" s="149">
        <f t="shared" si="13"/>
        <v>225</v>
      </c>
      <c r="B273" s="136" t="s">
        <v>574</v>
      </c>
      <c r="D273" s="157">
        <v>0</v>
      </c>
      <c r="F273" s="136"/>
      <c r="G273" s="184"/>
      <c r="H273" s="159"/>
      <c r="I273" s="157"/>
    </row>
    <row r="274" spans="1:29" ht="3" customHeight="1">
      <c r="A274" s="149">
        <f t="shared" si="13"/>
        <v>226</v>
      </c>
      <c r="C274" s="267"/>
      <c r="D274" s="209"/>
      <c r="E274" s="243"/>
      <c r="F274" s="268"/>
      <c r="G274" s="186"/>
      <c r="H274" s="159"/>
      <c r="I274" s="157"/>
    </row>
    <row r="275" spans="1:29">
      <c r="A275" s="149">
        <f t="shared" si="13"/>
        <v>227</v>
      </c>
      <c r="B275" s="166" t="s">
        <v>575</v>
      </c>
      <c r="D275" s="157">
        <v>0</v>
      </c>
      <c r="F275" s="166"/>
      <c r="G275" s="186"/>
      <c r="H275" s="159"/>
      <c r="I275" s="157"/>
    </row>
    <row r="276" spans="1:29">
      <c r="A276" s="149">
        <f t="shared" si="13"/>
        <v>228</v>
      </c>
      <c r="B276" s="166" t="s">
        <v>576</v>
      </c>
      <c r="D276" s="157">
        <v>0</v>
      </c>
      <c r="F276" s="136"/>
      <c r="G276" s="186"/>
      <c r="H276" s="159"/>
    </row>
    <row r="277" spans="1:29">
      <c r="A277" s="149">
        <f t="shared" si="13"/>
        <v>229</v>
      </c>
      <c r="B277" s="195"/>
      <c r="D277" s="157"/>
      <c r="F277" s="171"/>
      <c r="G277" s="186"/>
      <c r="H277" s="159"/>
      <c r="I277" s="160"/>
    </row>
    <row r="278" spans="1:29">
      <c r="A278" s="149">
        <f t="shared" si="13"/>
        <v>230</v>
      </c>
      <c r="B278" s="166" t="s">
        <v>577</v>
      </c>
      <c r="D278" s="157">
        <v>0</v>
      </c>
      <c r="E278" s="195"/>
      <c r="F278" s="136"/>
      <c r="G278" s="186"/>
      <c r="H278" s="159"/>
      <c r="I278" s="160"/>
      <c r="J278" s="148"/>
      <c r="K278" s="148"/>
      <c r="L278" s="148"/>
    </row>
    <row r="279" spans="1:29">
      <c r="A279" s="149">
        <f>A278+1</f>
        <v>231</v>
      </c>
      <c r="B279" s="166" t="s">
        <v>578</v>
      </c>
      <c r="D279" s="157">
        <v>0</v>
      </c>
      <c r="H279" s="160"/>
      <c r="I279" s="160"/>
    </row>
    <row r="280" spans="1:29">
      <c r="A280" s="149"/>
      <c r="D280" s="157"/>
      <c r="H280" s="160"/>
      <c r="I280" s="160"/>
    </row>
    <row r="281" spans="1:29">
      <c r="A281" s="149">
        <f>A279+1</f>
        <v>232</v>
      </c>
      <c r="B281" s="195" t="s">
        <v>579</v>
      </c>
      <c r="D281" s="157"/>
      <c r="H281" s="160"/>
      <c r="I281" s="160"/>
    </row>
    <row r="282" spans="1:29" s="136" customFormat="1">
      <c r="A282" s="149">
        <f>A281+1</f>
        <v>233</v>
      </c>
      <c r="B282" s="136" t="s">
        <v>580</v>
      </c>
      <c r="C282" s="155" t="s">
        <v>581</v>
      </c>
      <c r="D282" s="157">
        <f>'WP 10'!R24</f>
        <v>5732702.833333333</v>
      </c>
      <c r="F282" s="187"/>
      <c r="G282" s="186"/>
      <c r="H282" s="159"/>
      <c r="I282" s="160"/>
    </row>
    <row r="283" spans="1:29" s="136" customFormat="1">
      <c r="A283" s="149">
        <f t="shared" ref="A283:A288" si="14">A282+1</f>
        <v>234</v>
      </c>
      <c r="B283" s="166" t="s">
        <v>582</v>
      </c>
      <c r="C283" s="137"/>
      <c r="F283" s="168"/>
      <c r="G283" s="186"/>
      <c r="H283" s="159"/>
      <c r="I283" s="157"/>
    </row>
    <row r="284" spans="1:29" s="136" customFormat="1">
      <c r="A284" s="149">
        <f t="shared" si="14"/>
        <v>235</v>
      </c>
      <c r="B284" s="166" t="s">
        <v>583</v>
      </c>
      <c r="C284" s="137"/>
      <c r="D284" s="157"/>
      <c r="E284" s="157"/>
      <c r="F284" s="185"/>
      <c r="G284" s="186"/>
      <c r="H284" s="168"/>
      <c r="I284" s="157"/>
      <c r="J284" s="157"/>
      <c r="K284" s="157"/>
      <c r="L284" s="157"/>
      <c r="M284" s="157"/>
      <c r="N284" s="157"/>
      <c r="O284" s="157"/>
      <c r="P284" s="157"/>
      <c r="Q284" s="157"/>
      <c r="R284" s="157"/>
      <c r="S284" s="157"/>
      <c r="T284" s="157"/>
      <c r="U284" s="157"/>
      <c r="V284" s="157"/>
      <c r="W284" s="157"/>
      <c r="X284" s="157"/>
      <c r="Y284" s="157"/>
      <c r="Z284" s="157"/>
      <c r="AA284" s="157"/>
      <c r="AB284" s="157"/>
      <c r="AC284" s="157"/>
    </row>
    <row r="285" spans="1:29" s="136" customFormat="1">
      <c r="A285" s="149">
        <f t="shared" si="14"/>
        <v>236</v>
      </c>
      <c r="B285" s="166" t="s">
        <v>584</v>
      </c>
      <c r="C285" s="137"/>
      <c r="D285" s="157"/>
      <c r="E285" s="157"/>
      <c r="F285" s="185"/>
      <c r="G285" s="186"/>
      <c r="H285" s="159"/>
      <c r="J285" s="157"/>
      <c r="K285" s="157"/>
      <c r="L285" s="157"/>
      <c r="M285" s="157"/>
      <c r="N285" s="157"/>
      <c r="O285" s="157"/>
      <c r="P285" s="157"/>
      <c r="Q285" s="157"/>
      <c r="R285" s="157"/>
      <c r="S285" s="157"/>
      <c r="T285" s="157"/>
      <c r="U285" s="157"/>
      <c r="V285" s="157"/>
      <c r="W285" s="157"/>
      <c r="X285" s="157"/>
      <c r="Y285" s="157"/>
      <c r="Z285" s="157"/>
      <c r="AA285" s="157"/>
      <c r="AB285" s="157"/>
      <c r="AC285" s="157"/>
    </row>
    <row r="286" spans="1:29" s="136" customFormat="1">
      <c r="A286" s="149">
        <f t="shared" si="14"/>
        <v>237</v>
      </c>
      <c r="B286" s="136" t="s">
        <v>585</v>
      </c>
      <c r="C286" s="137"/>
      <c r="D286" s="157"/>
      <c r="E286" s="157"/>
      <c r="F286" s="185"/>
      <c r="G286" s="186"/>
      <c r="H286" s="159"/>
      <c r="J286" s="157"/>
      <c r="K286" s="157"/>
      <c r="L286" s="157"/>
      <c r="M286" s="157"/>
      <c r="N286" s="157"/>
      <c r="O286" s="157"/>
      <c r="P286" s="157"/>
      <c r="Q286" s="157"/>
      <c r="R286" s="157"/>
      <c r="S286" s="157"/>
      <c r="T286" s="157"/>
      <c r="U286" s="157"/>
      <c r="V286" s="157"/>
      <c r="W286" s="157"/>
      <c r="X286" s="157"/>
      <c r="Y286" s="157"/>
      <c r="Z286" s="157"/>
      <c r="AA286" s="157"/>
      <c r="AB286" s="157"/>
      <c r="AC286" s="157"/>
    </row>
    <row r="287" spans="1:29" s="136" customFormat="1">
      <c r="A287" s="149">
        <f t="shared" si="14"/>
        <v>238</v>
      </c>
      <c r="B287" s="166" t="s">
        <v>586</v>
      </c>
      <c r="C287" s="137"/>
      <c r="D287" s="157"/>
      <c r="E287" s="157"/>
      <c r="F287" s="168"/>
      <c r="G287" s="186"/>
      <c r="H287" s="159"/>
      <c r="J287" s="157"/>
      <c r="K287" s="157"/>
      <c r="L287" s="157"/>
      <c r="M287" s="157"/>
      <c r="N287" s="157"/>
      <c r="O287" s="157"/>
      <c r="P287" s="157"/>
      <c r="Q287" s="157"/>
      <c r="R287" s="157"/>
      <c r="S287" s="157"/>
      <c r="T287" s="157"/>
      <c r="U287" s="157"/>
      <c r="V287" s="157"/>
      <c r="W287" s="157"/>
      <c r="X287" s="157"/>
      <c r="Y287" s="157"/>
      <c r="Z287" s="157"/>
      <c r="AA287" s="157"/>
      <c r="AB287" s="157"/>
      <c r="AC287" s="157"/>
    </row>
    <row r="288" spans="1:29" s="136" customFormat="1">
      <c r="A288" s="149">
        <f t="shared" si="14"/>
        <v>239</v>
      </c>
      <c r="B288" s="166" t="s">
        <v>587</v>
      </c>
      <c r="C288" s="137"/>
      <c r="D288" s="157"/>
      <c r="E288" s="157"/>
      <c r="F288" s="185"/>
      <c r="G288" s="186"/>
      <c r="H288" s="159"/>
      <c r="J288" s="157"/>
      <c r="K288" s="157"/>
      <c r="L288" s="157"/>
      <c r="M288" s="157"/>
      <c r="N288" s="157"/>
      <c r="O288" s="157"/>
      <c r="P288" s="157"/>
      <c r="Q288" s="157"/>
      <c r="R288" s="157"/>
      <c r="S288" s="157"/>
      <c r="T288" s="157"/>
      <c r="U288" s="157"/>
      <c r="V288" s="157"/>
      <c r="W288" s="157"/>
      <c r="X288" s="157"/>
      <c r="Y288" s="157"/>
      <c r="Z288" s="157"/>
      <c r="AA288" s="157"/>
      <c r="AB288" s="157"/>
      <c r="AC288" s="157"/>
    </row>
    <row r="289" spans="1:29" ht="3" customHeight="1">
      <c r="A289" s="149"/>
      <c r="D289" s="157"/>
      <c r="E289" s="157"/>
      <c r="F289" s="185"/>
      <c r="G289" s="186"/>
      <c r="H289" s="159"/>
      <c r="J289" s="160"/>
      <c r="K289" s="160"/>
      <c r="L289" s="160"/>
      <c r="M289" s="160"/>
      <c r="N289" s="160"/>
      <c r="O289" s="160"/>
      <c r="P289" s="160"/>
      <c r="Q289" s="160"/>
      <c r="R289" s="160"/>
      <c r="S289" s="160"/>
      <c r="T289" s="160"/>
      <c r="U289" s="160"/>
      <c r="V289" s="160"/>
      <c r="W289" s="160"/>
      <c r="X289" s="160"/>
      <c r="Y289" s="160"/>
      <c r="Z289" s="160"/>
      <c r="AA289" s="160"/>
      <c r="AB289" s="160"/>
      <c r="AC289" s="160"/>
    </row>
    <row r="290" spans="1:29">
      <c r="A290" s="149">
        <f>A288+1</f>
        <v>240</v>
      </c>
      <c r="B290" s="195" t="s">
        <v>588</v>
      </c>
      <c r="D290" s="157"/>
      <c r="E290" s="157"/>
      <c r="F290" s="168"/>
      <c r="G290" s="186"/>
      <c r="H290" s="159"/>
      <c r="J290" s="160"/>
      <c r="K290" s="160"/>
      <c r="L290" s="160"/>
      <c r="M290" s="160"/>
      <c r="N290" s="160"/>
      <c r="O290" s="160"/>
      <c r="P290" s="160"/>
      <c r="Q290" s="160"/>
      <c r="R290" s="160"/>
      <c r="S290" s="160"/>
      <c r="T290" s="160"/>
      <c r="U290" s="160"/>
      <c r="V290" s="160"/>
      <c r="W290" s="160"/>
      <c r="X290" s="160"/>
      <c r="Y290" s="160"/>
      <c r="Z290" s="160"/>
      <c r="AA290" s="160"/>
      <c r="AB290" s="160"/>
      <c r="AC290" s="160"/>
    </row>
    <row r="291" spans="1:29">
      <c r="A291" s="149">
        <f>A290+1</f>
        <v>241</v>
      </c>
      <c r="B291" s="171" t="s">
        <v>102</v>
      </c>
      <c r="C291" s="155" t="s">
        <v>589</v>
      </c>
      <c r="D291" s="214">
        <f>'WP 11'!D9</f>
        <v>0.35</v>
      </c>
      <c r="E291" s="157"/>
      <c r="F291" s="194"/>
      <c r="G291" s="186"/>
      <c r="H291" s="159"/>
      <c r="J291" s="160"/>
      <c r="K291" s="160"/>
      <c r="L291" s="160"/>
      <c r="M291" s="160"/>
      <c r="N291" s="160"/>
      <c r="O291" s="160"/>
      <c r="P291" s="160"/>
      <c r="Q291" s="160"/>
      <c r="R291" s="160"/>
      <c r="S291" s="160"/>
      <c r="T291" s="160"/>
      <c r="U291" s="160"/>
      <c r="V291" s="160"/>
      <c r="W291" s="160"/>
      <c r="X291" s="160"/>
      <c r="Y291" s="160"/>
      <c r="Z291" s="160"/>
      <c r="AA291" s="160"/>
      <c r="AB291" s="160"/>
      <c r="AC291" s="160"/>
    </row>
    <row r="292" spans="1:29">
      <c r="A292" s="149">
        <f>A291+1</f>
        <v>242</v>
      </c>
      <c r="B292" s="171" t="s">
        <v>103</v>
      </c>
      <c r="C292" s="155" t="s">
        <v>589</v>
      </c>
      <c r="D292" s="214">
        <f>'WP 11'!E9</f>
        <v>6.5000000000000002E-2</v>
      </c>
      <c r="E292" s="157"/>
      <c r="F292" s="188"/>
      <c r="G292" s="184"/>
      <c r="H292" s="204"/>
      <c r="J292" s="160"/>
      <c r="K292" s="160"/>
      <c r="L292" s="160"/>
      <c r="M292" s="160"/>
      <c r="N292" s="160"/>
      <c r="O292" s="160"/>
      <c r="P292" s="160"/>
      <c r="Q292" s="160"/>
      <c r="R292" s="160"/>
      <c r="S292" s="160"/>
      <c r="T292" s="160"/>
      <c r="U292" s="160"/>
      <c r="V292" s="160"/>
      <c r="W292" s="160"/>
      <c r="X292" s="160"/>
      <c r="Y292" s="160"/>
      <c r="Z292" s="160"/>
      <c r="AA292" s="160"/>
      <c r="AB292" s="160"/>
      <c r="AC292" s="160"/>
    </row>
    <row r="293" spans="1:29">
      <c r="A293" s="149">
        <f>A292+1</f>
        <v>243</v>
      </c>
      <c r="B293" s="171" t="s">
        <v>590</v>
      </c>
      <c r="C293" s="155" t="s">
        <v>589</v>
      </c>
      <c r="D293" s="214">
        <v>0</v>
      </c>
      <c r="E293" s="157"/>
      <c r="F293" s="188"/>
      <c r="G293" s="184"/>
      <c r="H293" s="204"/>
      <c r="J293" s="160"/>
      <c r="K293" s="160"/>
      <c r="L293" s="160"/>
      <c r="M293" s="160"/>
      <c r="N293" s="160"/>
      <c r="O293" s="160"/>
      <c r="P293" s="160"/>
      <c r="Q293" s="160"/>
      <c r="R293" s="160"/>
      <c r="S293" s="160"/>
      <c r="T293" s="160"/>
      <c r="U293" s="160"/>
      <c r="V293" s="160"/>
      <c r="W293" s="160"/>
      <c r="X293" s="160"/>
      <c r="Y293" s="160"/>
      <c r="Z293" s="160"/>
      <c r="AA293" s="160"/>
      <c r="AB293" s="160"/>
      <c r="AC293" s="160"/>
    </row>
    <row r="294" spans="1:29" ht="8.25" customHeight="1">
      <c r="A294" s="149"/>
      <c r="F294" s="188"/>
      <c r="G294" s="186"/>
      <c r="H294" s="204"/>
    </row>
    <row r="295" spans="1:29">
      <c r="A295" s="149">
        <f>A293+1</f>
        <v>244</v>
      </c>
      <c r="B295" s="205" t="s">
        <v>591</v>
      </c>
      <c r="F295" s="168"/>
      <c r="G295" s="186"/>
      <c r="H295" s="168"/>
    </row>
    <row r="296" spans="1:29">
      <c r="A296" s="149">
        <f>A295+1</f>
        <v>245</v>
      </c>
      <c r="B296" s="136" t="s">
        <v>592</v>
      </c>
      <c r="C296" s="155" t="s">
        <v>593</v>
      </c>
      <c r="D296" s="157">
        <f>'WP 14'!E35</f>
        <v>27775.822736780279</v>
      </c>
    </row>
    <row r="297" spans="1:29">
      <c r="A297" s="149">
        <f>A296+1</f>
        <v>246</v>
      </c>
      <c r="B297" s="136" t="s">
        <v>594</v>
      </c>
      <c r="C297" s="155" t="s">
        <v>593</v>
      </c>
      <c r="D297" s="157">
        <f>'WP 14'!E40</f>
        <v>207595.48470099817</v>
      </c>
    </row>
  </sheetData>
  <mergeCells count="11">
    <mergeCell ref="AA56:AC56"/>
    <mergeCell ref="O2:Q2"/>
    <mergeCell ref="R2:T2"/>
    <mergeCell ref="U2:W2"/>
    <mergeCell ref="X2:Z2"/>
    <mergeCell ref="AA2:AC2"/>
    <mergeCell ref="M56:N56"/>
    <mergeCell ref="O56:Q56"/>
    <mergeCell ref="R56:T56"/>
    <mergeCell ref="U56:W56"/>
    <mergeCell ref="X56:Z56"/>
  </mergeCells>
  <printOptions horizontalCentered="1"/>
  <pageMargins left="0.7" right="0.7" top="0.75" bottom="0.75" header="0.3" footer="0.3"/>
  <pageSetup scale="86" fitToHeight="6" orientation="portrait" r:id="rId1"/>
  <headerFooter>
    <oddFooter>&amp;C&amp;P of &amp;N&amp;R&amp;"Arial,Regular"&amp;10&amp;A</oddFooter>
  </headerFooter>
  <rowBreaks count="4" manualBreakCount="4">
    <brk id="56" max="3" man="1"/>
    <brk id="115" max="3" man="1"/>
    <brk id="170" max="3" man="1"/>
    <brk id="221"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1"/>
  <sheetViews>
    <sheetView zoomScale="85" zoomScaleNormal="85" workbookViewId="0">
      <pane xSplit="2" ySplit="9" topLeftCell="C28" activePane="bottomRight" state="frozen"/>
      <selection pane="topRight"/>
      <selection pane="bottomLeft"/>
      <selection pane="bottomRight" activeCell="D39" sqref="D39"/>
    </sheetView>
  </sheetViews>
  <sheetFormatPr defaultColWidth="68.33203125" defaultRowHeight="14.4"/>
  <cols>
    <col min="1" max="1" width="68.44140625" bestFit="1" customWidth="1"/>
    <col min="2" max="2" width="13.6640625" bestFit="1" customWidth="1"/>
    <col min="3" max="3" width="11.6640625" bestFit="1" customWidth="1"/>
    <col min="4" max="4" width="14.33203125" style="328" bestFit="1" customWidth="1"/>
    <col min="5" max="5" width="13.109375" style="328" bestFit="1" customWidth="1"/>
    <col min="6" max="6" width="14.33203125" style="328" bestFit="1" customWidth="1"/>
  </cols>
  <sheetData>
    <row r="1" spans="1:6" s="122" customFormat="1" ht="13.2">
      <c r="D1" s="307"/>
      <c r="E1" s="307"/>
      <c r="F1" s="307"/>
    </row>
    <row r="2" spans="1:6" s="122" customFormat="1" ht="13.2">
      <c r="A2" s="517" t="str">
        <f>UPPER(D8)</f>
        <v>ENTERGY ARKANSAS, INC.</v>
      </c>
      <c r="B2" s="518"/>
      <c r="C2" s="518"/>
      <c r="D2" s="518"/>
      <c r="E2" s="518"/>
      <c r="F2" s="518"/>
    </row>
    <row r="3" spans="1:6" s="122" customFormat="1" ht="13.2">
      <c r="A3" s="518" t="s">
        <v>295</v>
      </c>
      <c r="B3" s="518"/>
      <c r="C3" s="518"/>
      <c r="D3" s="518"/>
      <c r="E3" s="518"/>
      <c r="F3" s="518"/>
    </row>
    <row r="4" spans="1:6" s="122" customFormat="1" ht="13.2">
      <c r="A4" s="518" t="s">
        <v>296</v>
      </c>
      <c r="B4" s="518"/>
      <c r="C4" s="518"/>
      <c r="D4" s="518"/>
      <c r="E4" s="518"/>
      <c r="F4" s="518"/>
    </row>
    <row r="5" spans="1:6" s="122" customFormat="1" ht="13.2">
      <c r="A5" s="518" t="s">
        <v>596</v>
      </c>
      <c r="B5" s="518"/>
      <c r="C5" s="518"/>
      <c r="D5" s="518"/>
      <c r="E5" s="518"/>
      <c r="F5" s="518"/>
    </row>
    <row r="6" spans="1:6" s="122" customFormat="1" ht="13.2">
      <c r="A6" s="518" t="s">
        <v>297</v>
      </c>
      <c r="B6" s="518"/>
      <c r="C6" s="518"/>
      <c r="D6" s="518"/>
      <c r="E6" s="518"/>
      <c r="F6" s="518"/>
    </row>
    <row r="7" spans="1:6" s="122" customFormat="1" ht="13.2">
      <c r="D7" s="307"/>
      <c r="E7" s="307"/>
      <c r="F7" s="307"/>
    </row>
    <row r="8" spans="1:6" s="124" customFormat="1" ht="13.2">
      <c r="A8" s="123"/>
      <c r="B8" s="123"/>
      <c r="C8" s="123"/>
      <c r="D8" s="515" t="s">
        <v>0</v>
      </c>
      <c r="E8" s="515"/>
      <c r="F8" s="516"/>
    </row>
    <row r="9" spans="1:6" s="126" customFormat="1" ht="13.2">
      <c r="A9" s="125" t="s">
        <v>207</v>
      </c>
      <c r="B9" s="125" t="s">
        <v>208</v>
      </c>
      <c r="C9" s="125" t="s">
        <v>152</v>
      </c>
      <c r="D9" s="308" t="s">
        <v>209</v>
      </c>
      <c r="E9" s="308" t="s">
        <v>191</v>
      </c>
      <c r="F9" s="309" t="s">
        <v>56</v>
      </c>
    </row>
    <row r="10" spans="1:6" s="124" customFormat="1" ht="13.2">
      <c r="A10" s="127" t="s">
        <v>283</v>
      </c>
      <c r="B10" s="122"/>
      <c r="C10" s="122"/>
      <c r="D10" s="310"/>
      <c r="E10" s="311"/>
      <c r="F10" s="312"/>
    </row>
    <row r="11" spans="1:6" s="124" customFormat="1" ht="13.2">
      <c r="A11" s="128"/>
      <c r="D11" s="313"/>
      <c r="E11" s="314"/>
      <c r="F11" s="315"/>
    </row>
    <row r="12" spans="1:6" s="124" customFormat="1" ht="13.2">
      <c r="A12" s="127" t="s">
        <v>611</v>
      </c>
      <c r="B12" s="122"/>
      <c r="C12" s="122"/>
      <c r="D12" s="316">
        <f>SUM(D63:D72)/2</f>
        <v>10198.16</v>
      </c>
      <c r="E12" s="316">
        <f>SUM(E63:E72)/2</f>
        <v>0</v>
      </c>
      <c r="F12" s="316">
        <f>SUM(F63:F72)/2</f>
        <v>10198.16</v>
      </c>
    </row>
    <row r="13" spans="1:6" s="124" customFormat="1" ht="13.2">
      <c r="A13" s="129" t="s">
        <v>210</v>
      </c>
      <c r="B13" s="130"/>
      <c r="C13" s="130"/>
      <c r="D13" s="317">
        <f>SUM(D96:D108)/2</f>
        <v>632.85</v>
      </c>
      <c r="E13" s="317">
        <f>SUM(E96:E108)/2</f>
        <v>0</v>
      </c>
      <c r="F13" s="317">
        <f>SUM(F96:F108)/2</f>
        <v>632.85</v>
      </c>
    </row>
    <row r="14" spans="1:6" s="124" customFormat="1" ht="13.2">
      <c r="A14" s="127"/>
      <c r="B14" s="122"/>
      <c r="C14" s="122"/>
      <c r="D14" s="318"/>
      <c r="E14" s="318"/>
      <c r="F14" s="318"/>
    </row>
    <row r="15" spans="1:6" s="124" customFormat="1" ht="13.2">
      <c r="A15" s="129"/>
      <c r="B15" s="130"/>
      <c r="C15" s="130"/>
      <c r="D15" s="319"/>
      <c r="E15" s="319"/>
      <c r="F15" s="319"/>
    </row>
    <row r="16" spans="1:6" s="124" customFormat="1" ht="13.2">
      <c r="A16" s="131" t="s">
        <v>188</v>
      </c>
      <c r="B16" s="122"/>
      <c r="C16" s="122"/>
      <c r="D16" s="320"/>
      <c r="E16" s="320"/>
      <c r="F16" s="320"/>
    </row>
    <row r="17" spans="1:6" s="124" customFormat="1" ht="13.2">
      <c r="A17" s="132" t="s">
        <v>211</v>
      </c>
      <c r="B17" s="130"/>
      <c r="C17" s="130"/>
      <c r="D17" s="317">
        <f>SUM(D73:D82)/2</f>
        <v>345848.32999999996</v>
      </c>
      <c r="E17" s="317">
        <f>SUM(E73:E82)/2</f>
        <v>0</v>
      </c>
      <c r="F17" s="321">
        <f>SUM(F73:F82)/2</f>
        <v>345848.32999999996</v>
      </c>
    </row>
    <row r="18" spans="1:6" s="124" customFormat="1" ht="13.2">
      <c r="A18" s="133"/>
      <c r="B18" s="122"/>
      <c r="C18" s="122"/>
      <c r="D18" s="318"/>
      <c r="E18" s="318"/>
      <c r="F18" s="318"/>
    </row>
    <row r="19" spans="1:6" s="124" customFormat="1" ht="13.2">
      <c r="A19" s="132" t="s">
        <v>212</v>
      </c>
      <c r="B19" s="130"/>
      <c r="C19" s="130"/>
      <c r="D19" s="317">
        <f>SUM(D83:D95)/2</f>
        <v>155981.90000000002</v>
      </c>
      <c r="E19" s="317">
        <f>SUM(E83:E95)/2</f>
        <v>0</v>
      </c>
      <c r="F19" s="321">
        <f>SUM(F83:F95)/2</f>
        <v>155981.90000000002</v>
      </c>
    </row>
    <row r="20" spans="1:6" s="124" customFormat="1" ht="13.2">
      <c r="A20" s="133"/>
      <c r="B20" s="122"/>
      <c r="C20" s="122"/>
      <c r="D20" s="318"/>
      <c r="E20" s="318"/>
      <c r="F20" s="318"/>
    </row>
    <row r="21" spans="1:6" s="124" customFormat="1" ht="13.2">
      <c r="A21" s="132" t="s">
        <v>213</v>
      </c>
      <c r="B21" s="130"/>
      <c r="C21" s="130"/>
      <c r="D21" s="317"/>
      <c r="E21" s="317"/>
      <c r="F21" s="317"/>
    </row>
    <row r="22" spans="1:6" s="124" customFormat="1" ht="13.2">
      <c r="A22" s="133" t="s">
        <v>214</v>
      </c>
      <c r="B22" s="122"/>
      <c r="C22" s="122"/>
      <c r="D22" s="318"/>
      <c r="E22" s="318"/>
      <c r="F22" s="318"/>
    </row>
    <row r="23" spans="1:6" s="124" customFormat="1" ht="13.2">
      <c r="A23" s="132" t="s">
        <v>284</v>
      </c>
      <c r="B23" s="130"/>
      <c r="C23" s="130"/>
      <c r="D23" s="317">
        <f>SUM(D109:D115)/2</f>
        <v>1725.6699999999998</v>
      </c>
      <c r="E23" s="317">
        <f>SUM(E109:E115)/2</f>
        <v>2194.6099999999997</v>
      </c>
      <c r="F23" s="317">
        <f>SUM(F109:F115)/2</f>
        <v>3920.2799999999997</v>
      </c>
    </row>
    <row r="24" spans="1:6" s="124" customFormat="1" ht="13.2">
      <c r="A24" s="133" t="s">
        <v>285</v>
      </c>
      <c r="B24" s="122"/>
      <c r="C24" s="122"/>
      <c r="D24" s="318">
        <f>SUM(D116:D121)/2</f>
        <v>6930</v>
      </c>
      <c r="E24" s="318">
        <f>SUM(E116:E121)/2</f>
        <v>0</v>
      </c>
      <c r="F24" s="318">
        <f>SUM(F116:F121)/2</f>
        <v>6930</v>
      </c>
    </row>
    <row r="25" spans="1:6" s="124" customFormat="1" ht="13.2">
      <c r="A25" s="132" t="s">
        <v>286</v>
      </c>
      <c r="B25" s="130"/>
      <c r="C25" s="130"/>
      <c r="D25" s="317">
        <v>0</v>
      </c>
      <c r="E25" s="317">
        <v>0</v>
      </c>
      <c r="F25" s="317">
        <v>0</v>
      </c>
    </row>
    <row r="26" spans="1:6" s="124" customFormat="1" ht="13.2">
      <c r="A26" s="133" t="s">
        <v>287</v>
      </c>
      <c r="B26" s="122"/>
      <c r="C26" s="122"/>
      <c r="D26" s="318">
        <f>SUM(D122:D126)/2</f>
        <v>0</v>
      </c>
      <c r="E26" s="318">
        <f>SUM(E122:E126)/2</f>
        <v>0</v>
      </c>
      <c r="F26" s="318">
        <f>SUM(F122:F126)/2</f>
        <v>0</v>
      </c>
    </row>
    <row r="27" spans="1:6" s="124" customFormat="1" ht="13.2">
      <c r="A27" s="132" t="s">
        <v>288</v>
      </c>
      <c r="B27" s="130"/>
      <c r="C27" s="130"/>
      <c r="D27" s="317">
        <f>SUM(D127:D130)/2</f>
        <v>2033.67</v>
      </c>
      <c r="E27" s="317">
        <f>SUM(E127:E130)/2</f>
        <v>18461.91</v>
      </c>
      <c r="F27" s="317">
        <f>SUM(F127:F130)/2</f>
        <v>20495.580000000002</v>
      </c>
    </row>
    <row r="28" spans="1:6" s="124" customFormat="1" ht="13.2">
      <c r="A28" s="133" t="s">
        <v>609</v>
      </c>
      <c r="B28" s="122"/>
      <c r="C28" s="122"/>
      <c r="D28" s="318">
        <f>SUM(D131:D133)/2</f>
        <v>59358.42</v>
      </c>
      <c r="E28" s="318">
        <f>SUM(E131:E133)/2</f>
        <v>0</v>
      </c>
      <c r="F28" s="318">
        <f>SUM(F131:F133)/2</f>
        <v>59358.42</v>
      </c>
    </row>
    <row r="29" spans="1:6" s="124" customFormat="1" ht="13.2">
      <c r="A29" s="132" t="s">
        <v>289</v>
      </c>
      <c r="B29" s="130"/>
      <c r="C29" s="130"/>
      <c r="D29" s="317">
        <f>SUM(D134:D137)/2</f>
        <v>9000.4500000000007</v>
      </c>
      <c r="E29" s="317">
        <f>SUM(E134:E137)/2</f>
        <v>0</v>
      </c>
      <c r="F29" s="317">
        <f>SUM(F134:F137)/2</f>
        <v>9000.4500000000007</v>
      </c>
    </row>
    <row r="30" spans="1:6" s="124" customFormat="1" ht="13.2">
      <c r="A30" s="133" t="s">
        <v>290</v>
      </c>
      <c r="B30" s="122"/>
      <c r="C30" s="122"/>
      <c r="D30" s="318">
        <f>SUM(D138:D139)/2</f>
        <v>0</v>
      </c>
      <c r="E30" s="318">
        <f>SUM(E138:E139)/2</f>
        <v>0</v>
      </c>
      <c r="F30" s="318">
        <f>SUM(F138:F139)/2</f>
        <v>0</v>
      </c>
    </row>
    <row r="31" spans="1:6" s="124" customFormat="1" ht="13.2">
      <c r="A31" s="132" t="s">
        <v>291</v>
      </c>
      <c r="B31" s="130" t="s">
        <v>646</v>
      </c>
      <c r="C31" s="130"/>
      <c r="D31" s="317">
        <f>SUM(D23:D30)</f>
        <v>79048.209999999992</v>
      </c>
      <c r="E31" s="321">
        <f>SUM(E23:E30)</f>
        <v>20656.52</v>
      </c>
      <c r="F31" s="317">
        <f>SUM(F23:F30)</f>
        <v>99704.73</v>
      </c>
    </row>
    <row r="32" spans="1:6" s="124" customFormat="1" ht="13.2">
      <c r="A32" s="133" t="s">
        <v>292</v>
      </c>
      <c r="B32" s="122"/>
      <c r="C32" s="122"/>
      <c r="D32" s="318"/>
      <c r="E32" s="318"/>
      <c r="F32" s="318"/>
    </row>
    <row r="33" spans="1:6" s="124" customFormat="1" ht="13.2">
      <c r="A33" s="132" t="s">
        <v>293</v>
      </c>
      <c r="B33" s="130"/>
      <c r="C33" s="130"/>
      <c r="D33" s="317">
        <f>SUM(D140:D149)/2</f>
        <v>582012.21</v>
      </c>
      <c r="E33" s="317">
        <f>SUM(E140:E149)/2</f>
        <v>438890.41</v>
      </c>
      <c r="F33" s="317">
        <f>SUM(F140:F149)/2</f>
        <v>1020902.6200000001</v>
      </c>
    </row>
    <row r="34" spans="1:6" s="124" customFormat="1" ht="13.2">
      <c r="A34" s="133" t="s">
        <v>215</v>
      </c>
      <c r="B34" s="122"/>
      <c r="C34" s="122"/>
      <c r="D34" s="318">
        <v>0</v>
      </c>
      <c r="E34" s="318">
        <v>0</v>
      </c>
      <c r="F34" s="318">
        <v>0</v>
      </c>
    </row>
    <row r="35" spans="1:6" s="124" customFormat="1" ht="13.2">
      <c r="A35" s="132" t="s">
        <v>216</v>
      </c>
      <c r="B35" s="130"/>
      <c r="C35" s="130"/>
      <c r="D35" s="317">
        <f>SUM(D150:D155)/2</f>
        <v>903134.48999999987</v>
      </c>
      <c r="E35" s="317">
        <f>SUM(E150:E155)/2</f>
        <v>15901.970000000001</v>
      </c>
      <c r="F35" s="317">
        <f>SUM(F150:F155)/2</f>
        <v>919036.46</v>
      </c>
    </row>
    <row r="36" spans="1:6" s="124" customFormat="1" ht="13.2">
      <c r="A36" s="133" t="s">
        <v>217</v>
      </c>
      <c r="B36" s="122"/>
      <c r="C36" s="122"/>
      <c r="D36" s="318">
        <f>SUM(D156:D159)/2</f>
        <v>15912.95</v>
      </c>
      <c r="E36" s="318">
        <f>SUM(E156:E159)/2</f>
        <v>6566.65</v>
      </c>
      <c r="F36" s="318">
        <f>SUM(F156:F159)/2</f>
        <v>22479.599999999999</v>
      </c>
    </row>
    <row r="37" spans="1:6" s="124" customFormat="1" ht="13.2">
      <c r="A37" s="132" t="s">
        <v>294</v>
      </c>
      <c r="B37" s="130"/>
      <c r="C37" s="130"/>
      <c r="D37" s="317">
        <f>SUM(D160:D162)/2</f>
        <v>0</v>
      </c>
      <c r="E37" s="317">
        <f>SUM(E160:E162)/2</f>
        <v>0</v>
      </c>
      <c r="F37" s="317">
        <f>SUM(F160:F162)/2</f>
        <v>0</v>
      </c>
    </row>
    <row r="38" spans="1:6" s="124" customFormat="1" ht="13.2">
      <c r="A38" s="133" t="s">
        <v>218</v>
      </c>
      <c r="B38" s="122"/>
      <c r="C38" s="122"/>
      <c r="D38" s="318">
        <v>0</v>
      </c>
      <c r="E38" s="318">
        <v>0</v>
      </c>
      <c r="F38" s="318">
        <v>0</v>
      </c>
    </row>
    <row r="39" spans="1:6" s="124" customFormat="1" ht="13.2">
      <c r="A39" s="132" t="s">
        <v>282</v>
      </c>
      <c r="B39" s="130"/>
      <c r="C39" s="130"/>
      <c r="D39" s="317">
        <f>SUM(D33:D38)</f>
        <v>1501059.6499999997</v>
      </c>
      <c r="E39" s="321">
        <f>SUM(E33:E38)</f>
        <v>461359.03</v>
      </c>
      <c r="F39" s="321">
        <f>SUM(F33:F38)</f>
        <v>1962418.6800000002</v>
      </c>
    </row>
    <row r="40" spans="1:6" s="124" customFormat="1" ht="13.2">
      <c r="A40" s="133" t="s">
        <v>219</v>
      </c>
      <c r="B40" s="122"/>
      <c r="C40" s="122"/>
      <c r="D40" s="318">
        <v>0</v>
      </c>
      <c r="E40" s="318">
        <v>0</v>
      </c>
      <c r="F40" s="318">
        <v>0</v>
      </c>
    </row>
    <row r="41" spans="1:6" s="124" customFormat="1" ht="13.2">
      <c r="A41" s="132" t="s">
        <v>220</v>
      </c>
      <c r="B41" s="130"/>
      <c r="C41" s="130"/>
      <c r="D41" s="317">
        <f>SUM(D163:D180)/2</f>
        <v>60214.45</v>
      </c>
      <c r="E41" s="321">
        <f>SUM(E163:E180)/2</f>
        <v>103511.23000000001</v>
      </c>
      <c r="F41" s="317">
        <f>SUM(F163:F180)/2</f>
        <v>163725.68</v>
      </c>
    </row>
    <row r="42" spans="1:6" s="124" customFormat="1" ht="13.2">
      <c r="A42" s="133" t="s">
        <v>221</v>
      </c>
      <c r="B42" s="122"/>
      <c r="C42" s="122"/>
      <c r="D42" s="318">
        <f>SUM(D181:D184)/2</f>
        <v>13.13</v>
      </c>
      <c r="E42" s="322">
        <f>SUM(E181:E184)/2</f>
        <v>76.83</v>
      </c>
      <c r="F42" s="318">
        <f>SUM(F181:F184)/2</f>
        <v>89.96</v>
      </c>
    </row>
    <row r="43" spans="1:6" s="124" customFormat="1" ht="13.2">
      <c r="A43" s="132" t="s">
        <v>222</v>
      </c>
      <c r="B43" s="130"/>
      <c r="C43" s="130"/>
      <c r="D43" s="317">
        <f>D31+D39+D40+D41+D42</f>
        <v>1640335.4399999995</v>
      </c>
      <c r="E43" s="317">
        <f>E31+E39+E40+E41+E42</f>
        <v>585603.61</v>
      </c>
      <c r="F43" s="317">
        <f>F31+F39+F40+F41+F42</f>
        <v>2225939.0500000003</v>
      </c>
    </row>
    <row r="44" spans="1:6" s="124" customFormat="1" ht="13.2">
      <c r="A44" s="133" t="s">
        <v>223</v>
      </c>
      <c r="B44" s="122"/>
      <c r="C44" s="122"/>
      <c r="D44" s="318"/>
      <c r="E44" s="318"/>
      <c r="F44" s="318"/>
    </row>
    <row r="45" spans="1:6" s="124" customFormat="1" ht="13.2">
      <c r="A45" s="132" t="s">
        <v>224</v>
      </c>
      <c r="B45" s="130"/>
      <c r="C45" s="130"/>
      <c r="D45" s="317">
        <f>SUM(D185:D195)/2</f>
        <v>332261.09999999998</v>
      </c>
      <c r="E45" s="317">
        <f>SUM(E185:E195)/2</f>
        <v>1880403.58</v>
      </c>
      <c r="F45" s="317">
        <f>SUM(F185:F195)/2</f>
        <v>2212664.6799999997</v>
      </c>
    </row>
    <row r="46" spans="1:6" s="124" customFormat="1" ht="13.2">
      <c r="A46" s="133" t="s">
        <v>225</v>
      </c>
      <c r="B46" s="122"/>
      <c r="C46" s="122"/>
      <c r="D46" s="318">
        <f>SUM(D196:D210)/2</f>
        <v>187204.47</v>
      </c>
      <c r="E46" s="318">
        <f>SUM(E196:E210)/2</f>
        <v>0</v>
      </c>
      <c r="F46" s="318">
        <f>SUM(F196:F210)/2</f>
        <v>187204.47</v>
      </c>
    </row>
    <row r="47" spans="1:6" s="124" customFormat="1" ht="13.2">
      <c r="A47" s="132" t="s">
        <v>226</v>
      </c>
      <c r="B47" s="130"/>
      <c r="C47" s="130"/>
      <c r="D47" s="317">
        <f>SUM(D211:D226)/2</f>
        <v>6867052.6500000004</v>
      </c>
      <c r="E47" s="317">
        <f>SUM(E211:E226)/2</f>
        <v>0</v>
      </c>
      <c r="F47" s="317">
        <f>SUM(F211:F226)/2</f>
        <v>6867052.6500000004</v>
      </c>
    </row>
    <row r="48" spans="1:6" s="124" customFormat="1" ht="13.2">
      <c r="A48" s="133" t="s">
        <v>227</v>
      </c>
      <c r="B48" s="122"/>
      <c r="C48" s="122"/>
      <c r="D48" s="318">
        <f>SUM(D227:D228)/2</f>
        <v>334.49</v>
      </c>
      <c r="E48" s="318">
        <f>SUM(E227:E228)/2</f>
        <v>1658.75</v>
      </c>
      <c r="F48" s="318">
        <f>SUM(F227:F228)/2</f>
        <v>1993.24</v>
      </c>
    </row>
    <row r="49" spans="1:8" s="124" customFormat="1" ht="13.2">
      <c r="A49" s="132" t="s">
        <v>228</v>
      </c>
      <c r="B49" s="130"/>
      <c r="C49" s="130"/>
      <c r="D49" s="317">
        <f>SUM(D229:D240)/2</f>
        <v>1311793.5300000003</v>
      </c>
      <c r="E49" s="317">
        <f>SUM(E229:E240)/2</f>
        <v>0</v>
      </c>
      <c r="F49" s="317">
        <f>SUM(F229:F240)/2</f>
        <v>1311793.5300000003</v>
      </c>
    </row>
    <row r="50" spans="1:8" s="124" customFormat="1" ht="13.2">
      <c r="A50" s="133" t="s">
        <v>229</v>
      </c>
      <c r="B50" s="122"/>
      <c r="C50" s="122"/>
      <c r="D50" s="318">
        <f>SUM(D241:D247)/2</f>
        <v>1208.8800000000001</v>
      </c>
      <c r="E50" s="318">
        <f>SUM(E241:E247)/2</f>
        <v>2548.92</v>
      </c>
      <c r="F50" s="322">
        <f>SUM(F241:F247)/2</f>
        <v>3757.8</v>
      </c>
    </row>
    <row r="51" spans="1:8" s="124" customFormat="1" ht="13.2">
      <c r="A51" s="132" t="s">
        <v>230</v>
      </c>
      <c r="B51" s="130"/>
      <c r="C51" s="130"/>
      <c r="D51" s="317">
        <f>SUM(D248:D249)/2</f>
        <v>0</v>
      </c>
      <c r="E51" s="317">
        <f>SUM(E248:E249)/2</f>
        <v>0</v>
      </c>
      <c r="F51" s="321">
        <f>SUM(F248:F249)/2</f>
        <v>0</v>
      </c>
    </row>
    <row r="52" spans="1:8" s="124" customFormat="1" ht="13.2">
      <c r="A52" s="133" t="s">
        <v>610</v>
      </c>
      <c r="B52" s="122"/>
      <c r="C52" s="122"/>
      <c r="D52" s="318">
        <f>SUM(D250:D254)/2</f>
        <v>5527.2800000000007</v>
      </c>
      <c r="E52" s="318">
        <f>SUM(E250:E254)/2</f>
        <v>0</v>
      </c>
      <c r="F52" s="318">
        <f>SUM(F250:F254)/2</f>
        <v>5527.2800000000007</v>
      </c>
    </row>
    <row r="53" spans="1:8" s="124" customFormat="1" ht="13.2">
      <c r="A53" s="132" t="s">
        <v>231</v>
      </c>
      <c r="B53" s="130"/>
      <c r="C53" s="130"/>
      <c r="D53" s="317">
        <f>SUM(D255:D257)/2</f>
        <v>3233.1200000000003</v>
      </c>
      <c r="E53" s="317">
        <f>SUM(E255:E257)/2</f>
        <v>16220.42</v>
      </c>
      <c r="F53" s="317">
        <f>SUM(F255:F257)/2</f>
        <v>19453.54</v>
      </c>
    </row>
    <row r="54" spans="1:8" s="124" customFormat="1" ht="13.2">
      <c r="A54" s="133" t="s">
        <v>612</v>
      </c>
      <c r="B54" s="122"/>
      <c r="C54" s="122"/>
      <c r="D54" s="318">
        <f>SUM(D258:D259)/2</f>
        <v>309.57</v>
      </c>
      <c r="E54" s="318">
        <f>SUM(E258:E259)/2</f>
        <v>0</v>
      </c>
      <c r="F54" s="318">
        <f>SUM(F258:F259)/2</f>
        <v>309.57</v>
      </c>
    </row>
    <row r="55" spans="1:8" s="124" customFormat="1" ht="13.2">
      <c r="A55" s="132" t="s">
        <v>232</v>
      </c>
      <c r="B55" s="130"/>
      <c r="C55" s="130"/>
      <c r="D55" s="317">
        <f>SUM(D260:D267)/2</f>
        <v>2095.1799999999998</v>
      </c>
      <c r="E55" s="317">
        <f>SUM(E260:E267)/2</f>
        <v>1593.55</v>
      </c>
      <c r="F55" s="317">
        <f>SUM(F260:F267)/2</f>
        <v>3688.73</v>
      </c>
    </row>
    <row r="56" spans="1:8" s="124" customFormat="1" ht="13.2">
      <c r="A56" s="133" t="s">
        <v>233</v>
      </c>
      <c r="B56" s="122"/>
      <c r="C56" s="122"/>
      <c r="D56" s="318">
        <f>SUM(D45:D55)</f>
        <v>8711020.2700000014</v>
      </c>
      <c r="E56" s="318">
        <f>SUM(E45:E55)</f>
        <v>1902425.22</v>
      </c>
      <c r="F56" s="323">
        <f>SUM(F45:F55)</f>
        <v>10613445.49</v>
      </c>
    </row>
    <row r="57" spans="1:8" s="124" customFormat="1" ht="13.2">
      <c r="A57" s="219" t="s">
        <v>234</v>
      </c>
      <c r="B57" s="130"/>
      <c r="C57" s="130"/>
      <c r="D57" s="317">
        <f>D43+D56</f>
        <v>10351355.710000001</v>
      </c>
      <c r="E57" s="317">
        <f>E43+E56</f>
        <v>2488028.83</v>
      </c>
      <c r="F57" s="317">
        <f>F43+F56</f>
        <v>12839384.540000001</v>
      </c>
    </row>
    <row r="58" spans="1:8" s="124" customFormat="1" ht="13.2">
      <c r="A58" s="133"/>
      <c r="B58" s="122"/>
      <c r="C58" s="122"/>
      <c r="D58" s="318"/>
      <c r="E58" s="318"/>
      <c r="F58" s="318"/>
    </row>
    <row r="59" spans="1:8" s="124" customFormat="1" ht="13.2">
      <c r="A59" s="219" t="s">
        <v>280</v>
      </c>
      <c r="B59" s="130"/>
      <c r="C59" s="130"/>
      <c r="D59" s="317">
        <f>D12+D13+D17+D19+D57</f>
        <v>10864016.950000001</v>
      </c>
      <c r="E59" s="317">
        <f>E12+E13+E17+E19+E57</f>
        <v>2488028.83</v>
      </c>
      <c r="F59" s="317">
        <f>F12+F13+F17+F19+F57</f>
        <v>13352045.780000001</v>
      </c>
      <c r="G59" s="354"/>
    </row>
    <row r="60" spans="1:8" s="122" customFormat="1" ht="13.8" thickBot="1">
      <c r="A60" s="225"/>
      <c r="B60" s="225"/>
      <c r="C60" s="225"/>
      <c r="D60" s="324"/>
      <c r="E60" s="324"/>
      <c r="F60" s="324"/>
    </row>
    <row r="61" spans="1:8" s="122" customFormat="1" ht="13.2">
      <c r="D61" s="307"/>
      <c r="E61" s="307"/>
      <c r="F61" s="307"/>
    </row>
    <row r="62" spans="1:8">
      <c r="A62" s="127" t="s">
        <v>615</v>
      </c>
      <c r="B62" s="217"/>
      <c r="C62" s="216"/>
      <c r="D62" s="325"/>
      <c r="E62" s="325"/>
      <c r="F62" s="325"/>
      <c r="G62" s="216"/>
    </row>
    <row r="63" spans="1:8">
      <c r="A63" s="220" t="s">
        <v>235</v>
      </c>
      <c r="B63" s="221"/>
      <c r="C63" s="221"/>
      <c r="D63" s="316">
        <f>SUM(D64:D65)</f>
        <v>11052.89</v>
      </c>
      <c r="E63" s="316">
        <f>SUM(E64:E65)</f>
        <v>0</v>
      </c>
      <c r="F63" s="316">
        <f>SUM(F64:F65)</f>
        <v>11052.89</v>
      </c>
      <c r="G63" s="218"/>
      <c r="H63" s="218"/>
    </row>
    <row r="64" spans="1:8">
      <c r="A64" s="220"/>
      <c r="B64" s="221" t="s">
        <v>597</v>
      </c>
      <c r="C64" s="221"/>
      <c r="D64" s="316">
        <v>0</v>
      </c>
      <c r="E64" s="316">
        <v>0</v>
      </c>
      <c r="F64" s="316">
        <v>0</v>
      </c>
      <c r="G64" s="218"/>
      <c r="H64" s="218"/>
    </row>
    <row r="65" spans="1:8">
      <c r="A65" s="220"/>
      <c r="B65" s="221" t="s">
        <v>598</v>
      </c>
      <c r="C65" s="221"/>
      <c r="D65" s="316">
        <v>11052.89</v>
      </c>
      <c r="E65" s="316">
        <v>0</v>
      </c>
      <c r="F65" s="316">
        <v>11052.89</v>
      </c>
      <c r="G65" s="218"/>
      <c r="H65" s="218"/>
    </row>
    <row r="66" spans="1:8">
      <c r="A66" s="220" t="s">
        <v>237</v>
      </c>
      <c r="B66" s="221"/>
      <c r="C66" s="221"/>
      <c r="D66" s="316">
        <f>SUM(D67)</f>
        <v>75.209999999999994</v>
      </c>
      <c r="E66" s="316">
        <f>SUM(E67)</f>
        <v>0</v>
      </c>
      <c r="F66" s="316">
        <f>SUM(F67)</f>
        <v>75.209999999999994</v>
      </c>
      <c r="G66" s="218"/>
      <c r="H66" s="218"/>
    </row>
    <row r="67" spans="1:8">
      <c r="A67" s="220"/>
      <c r="B67" s="221" t="s">
        <v>236</v>
      </c>
      <c r="C67" s="221"/>
      <c r="D67" s="316">
        <v>75.209999999999994</v>
      </c>
      <c r="E67" s="316">
        <v>0</v>
      </c>
      <c r="F67" s="316">
        <v>75.209999999999994</v>
      </c>
      <c r="G67" s="218"/>
      <c r="H67" s="218"/>
    </row>
    <row r="68" spans="1:8">
      <c r="A68" s="220" t="s">
        <v>238</v>
      </c>
      <c r="B68" s="221"/>
      <c r="C68" s="221"/>
      <c r="D68" s="316">
        <f>SUM(D69:D70)</f>
        <v>-894.89</v>
      </c>
      <c r="E68" s="316">
        <f>SUM(E69:E70)</f>
        <v>0</v>
      </c>
      <c r="F68" s="316">
        <f>SUM(F69:F70)</f>
        <v>-894.89</v>
      </c>
      <c r="G68" s="218"/>
      <c r="H68" s="218"/>
    </row>
    <row r="69" spans="1:8">
      <c r="A69" s="220"/>
      <c r="B69" s="221" t="s">
        <v>239</v>
      </c>
      <c r="C69" s="221"/>
      <c r="D69" s="316">
        <v>-45.43</v>
      </c>
      <c r="E69" s="316">
        <v>0</v>
      </c>
      <c r="F69" s="316">
        <v>-45.43</v>
      </c>
      <c r="G69" s="218"/>
      <c r="H69" s="218"/>
    </row>
    <row r="70" spans="1:8">
      <c r="A70" s="220"/>
      <c r="B70" s="221" t="s">
        <v>236</v>
      </c>
      <c r="C70" s="221"/>
      <c r="D70" s="316">
        <v>-849.46</v>
      </c>
      <c r="E70" s="316">
        <v>0</v>
      </c>
      <c r="F70" s="316">
        <v>-849.46</v>
      </c>
      <c r="G70" s="218"/>
      <c r="H70" s="218"/>
    </row>
    <row r="71" spans="1:8">
      <c r="A71" s="220" t="s">
        <v>599</v>
      </c>
      <c r="B71" s="221"/>
      <c r="C71" s="221"/>
      <c r="D71" s="316">
        <v>-35.049999999999997</v>
      </c>
      <c r="E71" s="316">
        <v>0</v>
      </c>
      <c r="F71" s="316">
        <v>-35.049999999999997</v>
      </c>
      <c r="G71" s="218"/>
      <c r="H71" s="218"/>
    </row>
    <row r="72" spans="1:8">
      <c r="A72" s="220"/>
      <c r="B72" s="221" t="s">
        <v>598</v>
      </c>
      <c r="C72" s="221"/>
      <c r="D72" s="316">
        <v>-35.049999999999997</v>
      </c>
      <c r="E72" s="316">
        <v>0</v>
      </c>
      <c r="F72" s="316">
        <v>-35.049999999999997</v>
      </c>
      <c r="G72" s="218"/>
      <c r="H72" s="218"/>
    </row>
    <row r="73" spans="1:8">
      <c r="A73" s="220" t="s">
        <v>240</v>
      </c>
      <c r="B73" s="221"/>
      <c r="C73" s="221"/>
      <c r="D73" s="316">
        <f>SUM(D74:D82)</f>
        <v>345848.32999999996</v>
      </c>
      <c r="E73" s="316">
        <f>SUM(E74:E82)</f>
        <v>0</v>
      </c>
      <c r="F73" s="316">
        <f>SUM(F74:F82)</f>
        <v>345848.32999999996</v>
      </c>
      <c r="G73" s="218"/>
      <c r="H73" s="218"/>
    </row>
    <row r="74" spans="1:8">
      <c r="A74" s="220"/>
      <c r="B74" s="221" t="s">
        <v>245</v>
      </c>
      <c r="C74" s="221"/>
      <c r="D74" s="316">
        <v>0</v>
      </c>
      <c r="E74" s="316">
        <v>0</v>
      </c>
      <c r="F74" s="316">
        <v>0</v>
      </c>
      <c r="G74" s="218"/>
      <c r="H74" s="218"/>
    </row>
    <row r="75" spans="1:8">
      <c r="A75" s="220"/>
      <c r="B75" s="221" t="s">
        <v>244</v>
      </c>
      <c r="C75" s="221"/>
      <c r="D75" s="316">
        <v>0</v>
      </c>
      <c r="E75" s="316">
        <v>0</v>
      </c>
      <c r="F75" s="316">
        <v>0</v>
      </c>
      <c r="G75" s="218"/>
      <c r="H75" s="218"/>
    </row>
    <row r="76" spans="1:8">
      <c r="A76" s="220"/>
      <c r="B76" s="221" t="s">
        <v>242</v>
      </c>
      <c r="C76" s="221"/>
      <c r="D76" s="316">
        <v>63142.8</v>
      </c>
      <c r="E76" s="316">
        <v>0</v>
      </c>
      <c r="F76" s="316">
        <v>63142.8</v>
      </c>
      <c r="G76" s="218"/>
      <c r="H76" s="218"/>
    </row>
    <row r="77" spans="1:8">
      <c r="A77" s="220"/>
      <c r="B77" s="221" t="s">
        <v>241</v>
      </c>
      <c r="C77" s="221"/>
      <c r="D77" s="316">
        <v>0</v>
      </c>
      <c r="E77" s="316">
        <v>0</v>
      </c>
      <c r="F77" s="316">
        <v>0</v>
      </c>
      <c r="G77" s="218"/>
      <c r="H77" s="218"/>
    </row>
    <row r="78" spans="1:8">
      <c r="A78" s="220"/>
      <c r="B78" s="221" t="s">
        <v>243</v>
      </c>
      <c r="C78" s="221"/>
      <c r="D78" s="316">
        <v>0</v>
      </c>
      <c r="E78" s="316">
        <v>0</v>
      </c>
      <c r="F78" s="316">
        <v>0</v>
      </c>
      <c r="G78" s="218"/>
      <c r="H78" s="218"/>
    </row>
    <row r="79" spans="1:8">
      <c r="A79" s="220"/>
      <c r="B79" s="221" t="s">
        <v>239</v>
      </c>
      <c r="C79" s="221"/>
      <c r="D79" s="316">
        <v>55171.69</v>
      </c>
      <c r="E79" s="316">
        <v>0</v>
      </c>
      <c r="F79" s="316">
        <v>55171.69</v>
      </c>
      <c r="G79" s="218"/>
      <c r="H79" s="218"/>
    </row>
    <row r="80" spans="1:8">
      <c r="A80" s="220"/>
      <c r="B80" s="221" t="s">
        <v>246</v>
      </c>
      <c r="C80" s="221"/>
      <c r="D80" s="316">
        <v>86153.299999999988</v>
      </c>
      <c r="E80" s="316">
        <v>0</v>
      </c>
      <c r="F80" s="316">
        <v>86153.299999999988</v>
      </c>
      <c r="G80" s="218"/>
      <c r="H80" s="218"/>
    </row>
    <row r="81" spans="1:8">
      <c r="A81" s="220"/>
      <c r="B81" s="221" t="s">
        <v>236</v>
      </c>
      <c r="C81" s="221"/>
      <c r="D81" s="316">
        <v>95491.3</v>
      </c>
      <c r="E81" s="316">
        <v>0</v>
      </c>
      <c r="F81" s="316">
        <v>95491.3</v>
      </c>
      <c r="G81" s="218"/>
      <c r="H81" s="218"/>
    </row>
    <row r="82" spans="1:8">
      <c r="A82" s="220"/>
      <c r="B82" s="221" t="s">
        <v>247</v>
      </c>
      <c r="C82" s="221"/>
      <c r="D82" s="316">
        <v>45889.24</v>
      </c>
      <c r="E82" s="316">
        <v>0</v>
      </c>
      <c r="F82" s="316">
        <v>45889.24</v>
      </c>
      <c r="G82" s="218"/>
      <c r="H82" s="218"/>
    </row>
    <row r="83" spans="1:8">
      <c r="A83" s="220" t="s">
        <v>62</v>
      </c>
      <c r="B83" s="221"/>
      <c r="C83" s="221"/>
      <c r="D83" s="316">
        <f>SUM(D84:D95)</f>
        <v>155981.9</v>
      </c>
      <c r="E83" s="316">
        <f>SUM(E84:E95)</f>
        <v>0</v>
      </c>
      <c r="F83" s="316">
        <f>SUM(F84:F95)</f>
        <v>155981.9</v>
      </c>
      <c r="G83" s="218"/>
      <c r="H83" s="218"/>
    </row>
    <row r="84" spans="1:8">
      <c r="A84" s="220"/>
      <c r="B84" s="221" t="s">
        <v>250</v>
      </c>
      <c r="C84" s="221"/>
      <c r="D84" s="316">
        <v>0</v>
      </c>
      <c r="E84" s="316">
        <v>0</v>
      </c>
      <c r="F84" s="316">
        <v>0</v>
      </c>
      <c r="G84" s="218"/>
      <c r="H84" s="218"/>
    </row>
    <row r="85" spans="1:8">
      <c r="A85" s="220"/>
      <c r="B85" s="221" t="s">
        <v>245</v>
      </c>
      <c r="C85" s="221"/>
      <c r="D85" s="316">
        <v>0</v>
      </c>
      <c r="E85" s="316">
        <v>0</v>
      </c>
      <c r="F85" s="316">
        <v>0</v>
      </c>
      <c r="G85" s="218"/>
      <c r="H85" s="218"/>
    </row>
    <row r="86" spans="1:8">
      <c r="A86" s="220"/>
      <c r="B86" s="221" t="s">
        <v>244</v>
      </c>
      <c r="C86" s="221"/>
      <c r="D86" s="316">
        <v>0</v>
      </c>
      <c r="E86" s="316">
        <v>0</v>
      </c>
      <c r="F86" s="316">
        <v>0</v>
      </c>
      <c r="G86" s="218"/>
      <c r="H86" s="218"/>
    </row>
    <row r="87" spans="1:8">
      <c r="A87" s="220"/>
      <c r="B87" s="221" t="s">
        <v>243</v>
      </c>
      <c r="C87" s="221"/>
      <c r="D87" s="316">
        <v>0</v>
      </c>
      <c r="E87" s="316">
        <v>0</v>
      </c>
      <c r="F87" s="316">
        <v>0</v>
      </c>
      <c r="G87" s="218"/>
      <c r="H87" s="218"/>
    </row>
    <row r="88" spans="1:8">
      <c r="A88" s="220"/>
      <c r="B88" s="221" t="s">
        <v>249</v>
      </c>
      <c r="C88" s="221"/>
      <c r="D88" s="316">
        <v>0</v>
      </c>
      <c r="E88" s="316">
        <v>0</v>
      </c>
      <c r="F88" s="316">
        <v>0</v>
      </c>
      <c r="G88" s="218"/>
      <c r="H88" s="218"/>
    </row>
    <row r="89" spans="1:8">
      <c r="A89" s="220"/>
      <c r="B89" s="221" t="s">
        <v>241</v>
      </c>
      <c r="C89" s="221"/>
      <c r="D89" s="316">
        <v>0</v>
      </c>
      <c r="E89" s="316">
        <v>0</v>
      </c>
      <c r="F89" s="316">
        <v>0</v>
      </c>
      <c r="G89" s="218"/>
      <c r="H89" s="218"/>
    </row>
    <row r="90" spans="1:8">
      <c r="A90" s="220"/>
      <c r="B90" s="221" t="s">
        <v>248</v>
      </c>
      <c r="C90" s="221"/>
      <c r="D90" s="316">
        <v>645.6</v>
      </c>
      <c r="E90" s="316">
        <v>0</v>
      </c>
      <c r="F90" s="316">
        <v>645.6</v>
      </c>
      <c r="G90" s="218"/>
      <c r="H90" s="218"/>
    </row>
    <row r="91" spans="1:8">
      <c r="A91" s="220"/>
      <c r="B91" s="221" t="s">
        <v>242</v>
      </c>
      <c r="C91" s="221"/>
      <c r="D91" s="316">
        <v>21618.140000000003</v>
      </c>
      <c r="E91" s="316">
        <v>0</v>
      </c>
      <c r="F91" s="316">
        <v>21618.140000000003</v>
      </c>
      <c r="G91" s="218"/>
      <c r="H91" s="218"/>
    </row>
    <row r="92" spans="1:8">
      <c r="A92" s="220"/>
      <c r="B92" s="221" t="s">
        <v>239</v>
      </c>
      <c r="C92" s="221"/>
      <c r="D92" s="316">
        <v>26155.65</v>
      </c>
      <c r="E92" s="316">
        <v>0</v>
      </c>
      <c r="F92" s="316">
        <v>26155.65</v>
      </c>
      <c r="G92" s="218"/>
      <c r="H92" s="218"/>
    </row>
    <row r="93" spans="1:8">
      <c r="A93" s="220"/>
      <c r="B93" s="221" t="s">
        <v>246</v>
      </c>
      <c r="C93" s="221"/>
      <c r="D93" s="316">
        <v>37960.770000000004</v>
      </c>
      <c r="E93" s="316">
        <v>0</v>
      </c>
      <c r="F93" s="316">
        <v>37960.770000000004</v>
      </c>
      <c r="G93" s="218"/>
      <c r="H93" s="218"/>
    </row>
    <row r="94" spans="1:8">
      <c r="A94" s="220"/>
      <c r="B94" s="221" t="s">
        <v>236</v>
      </c>
      <c r="C94" s="221"/>
      <c r="D94" s="316">
        <v>42904.02</v>
      </c>
      <c r="E94" s="316">
        <v>0</v>
      </c>
      <c r="F94" s="316">
        <v>42904.02</v>
      </c>
      <c r="G94" s="218"/>
      <c r="H94" s="218"/>
    </row>
    <row r="95" spans="1:8">
      <c r="A95" s="220"/>
      <c r="B95" s="221" t="s">
        <v>247</v>
      </c>
      <c r="C95" s="221"/>
      <c r="D95" s="316">
        <v>26697.72</v>
      </c>
      <c r="E95" s="316">
        <v>0</v>
      </c>
      <c r="F95" s="316">
        <v>26697.72</v>
      </c>
      <c r="G95" s="218"/>
      <c r="H95" s="218"/>
    </row>
    <row r="96" spans="1:8">
      <c r="A96" s="220" t="s">
        <v>251</v>
      </c>
      <c r="B96" s="221"/>
      <c r="C96" s="221"/>
      <c r="D96" s="316">
        <v>-65.260000000000005</v>
      </c>
      <c r="E96" s="316">
        <v>0</v>
      </c>
      <c r="F96" s="316">
        <v>-65.260000000000005</v>
      </c>
      <c r="G96" s="218"/>
      <c r="H96" s="218"/>
    </row>
    <row r="97" spans="1:8">
      <c r="A97" s="220"/>
      <c r="B97" s="221" t="s">
        <v>598</v>
      </c>
      <c r="C97" s="221"/>
      <c r="D97" s="316">
        <v>-65.260000000000005</v>
      </c>
      <c r="E97" s="316">
        <v>0</v>
      </c>
      <c r="F97" s="316">
        <v>-65.260000000000005</v>
      </c>
      <c r="G97" s="218"/>
      <c r="H97" s="218"/>
    </row>
    <row r="98" spans="1:8">
      <c r="A98" s="220" t="s">
        <v>252</v>
      </c>
      <c r="B98" s="221"/>
      <c r="C98" s="221"/>
      <c r="D98" s="316">
        <v>636.88</v>
      </c>
      <c r="E98" s="316">
        <v>0</v>
      </c>
      <c r="F98" s="316">
        <v>636.88</v>
      </c>
      <c r="G98" s="218"/>
      <c r="H98" s="218"/>
    </row>
    <row r="99" spans="1:8">
      <c r="A99" s="220"/>
      <c r="B99" s="221" t="s">
        <v>247</v>
      </c>
      <c r="C99" s="221"/>
      <c r="D99" s="316">
        <v>636.88</v>
      </c>
      <c r="E99" s="316">
        <v>0</v>
      </c>
      <c r="F99" s="316">
        <v>636.88</v>
      </c>
      <c r="G99" s="218"/>
      <c r="H99" s="218"/>
    </row>
    <row r="100" spans="1:8">
      <c r="A100" s="220" t="s">
        <v>253</v>
      </c>
      <c r="B100" s="221"/>
      <c r="C100" s="221"/>
      <c r="D100" s="316">
        <v>59.92</v>
      </c>
      <c r="E100" s="316">
        <v>0</v>
      </c>
      <c r="F100" s="316">
        <v>59.92</v>
      </c>
      <c r="G100" s="218"/>
      <c r="H100" s="218"/>
    </row>
    <row r="101" spans="1:8">
      <c r="A101" s="220"/>
      <c r="B101" s="221" t="s">
        <v>243</v>
      </c>
      <c r="C101" s="221"/>
      <c r="D101" s="316">
        <v>0</v>
      </c>
      <c r="E101" s="316">
        <v>0</v>
      </c>
      <c r="F101" s="316">
        <v>0</v>
      </c>
      <c r="G101" s="218"/>
      <c r="H101" s="218"/>
    </row>
    <row r="102" spans="1:8">
      <c r="A102" s="220"/>
      <c r="B102" s="221" t="s">
        <v>236</v>
      </c>
      <c r="C102" s="221"/>
      <c r="D102" s="316">
        <v>59.92</v>
      </c>
      <c r="E102" s="316">
        <v>0</v>
      </c>
      <c r="F102" s="316">
        <v>59.92</v>
      </c>
      <c r="G102" s="218"/>
      <c r="H102" s="218"/>
    </row>
    <row r="103" spans="1:8">
      <c r="A103" s="220" t="s">
        <v>600</v>
      </c>
      <c r="B103" s="221"/>
      <c r="C103" s="221"/>
      <c r="D103" s="316">
        <v>10.19</v>
      </c>
      <c r="E103" s="316">
        <v>0</v>
      </c>
      <c r="F103" s="316">
        <v>10.19</v>
      </c>
      <c r="G103" s="218"/>
      <c r="H103" s="218"/>
    </row>
    <row r="104" spans="1:8">
      <c r="A104" s="220"/>
      <c r="B104" s="221" t="s">
        <v>598</v>
      </c>
      <c r="C104" s="221"/>
      <c r="D104" s="316">
        <v>10.19</v>
      </c>
      <c r="E104" s="316">
        <v>0</v>
      </c>
      <c r="F104" s="316">
        <v>10.19</v>
      </c>
      <c r="G104" s="218"/>
      <c r="H104" s="218"/>
    </row>
    <row r="105" spans="1:8">
      <c r="A105" s="220" t="s">
        <v>601</v>
      </c>
      <c r="B105" s="221"/>
      <c r="C105" s="221"/>
      <c r="D105" s="316">
        <v>24.86</v>
      </c>
      <c r="E105" s="316">
        <v>0</v>
      </c>
      <c r="F105" s="316">
        <v>24.86</v>
      </c>
      <c r="G105" s="218"/>
      <c r="H105" s="218"/>
    </row>
    <row r="106" spans="1:8">
      <c r="A106" s="220"/>
      <c r="B106" s="221" t="s">
        <v>598</v>
      </c>
      <c r="C106" s="221"/>
      <c r="D106" s="316">
        <v>24.86</v>
      </c>
      <c r="E106" s="316">
        <v>0</v>
      </c>
      <c r="F106" s="316">
        <v>24.86</v>
      </c>
      <c r="G106" s="218"/>
      <c r="H106" s="218"/>
    </row>
    <row r="107" spans="1:8">
      <c r="A107" s="220" t="s">
        <v>254</v>
      </c>
      <c r="B107" s="221"/>
      <c r="C107" s="221"/>
      <c r="D107" s="316">
        <v>-33.74</v>
      </c>
      <c r="E107" s="316">
        <v>0</v>
      </c>
      <c r="F107" s="316">
        <v>-33.74</v>
      </c>
      <c r="G107" s="218"/>
      <c r="H107" s="218"/>
    </row>
    <row r="108" spans="1:8">
      <c r="A108" s="220"/>
      <c r="B108" s="221" t="s">
        <v>598</v>
      </c>
      <c r="C108" s="221"/>
      <c r="D108" s="316">
        <v>-33.74</v>
      </c>
      <c r="E108" s="316">
        <v>0</v>
      </c>
      <c r="F108" s="316">
        <v>-33.74</v>
      </c>
      <c r="G108" s="218"/>
      <c r="H108" s="218"/>
    </row>
    <row r="109" spans="1:8">
      <c r="A109" s="220" t="s">
        <v>255</v>
      </c>
      <c r="B109" s="221"/>
      <c r="C109" s="221"/>
      <c r="D109" s="316">
        <f>SUM(D110:D115)</f>
        <v>1725.6699999999998</v>
      </c>
      <c r="E109" s="316">
        <f>SUM(E110:E115)</f>
        <v>2194.6099999999997</v>
      </c>
      <c r="F109" s="316">
        <f>SUM(F110:F115)</f>
        <v>3920.2799999999997</v>
      </c>
      <c r="G109" s="218"/>
      <c r="H109" s="218"/>
    </row>
    <row r="110" spans="1:8">
      <c r="A110" s="220"/>
      <c r="B110" s="221" t="s">
        <v>245</v>
      </c>
      <c r="C110" s="221"/>
      <c r="D110" s="316">
        <v>0</v>
      </c>
      <c r="E110" s="316">
        <v>0</v>
      </c>
      <c r="F110" s="316">
        <v>0</v>
      </c>
      <c r="G110" s="218"/>
      <c r="H110" s="218"/>
    </row>
    <row r="111" spans="1:8">
      <c r="A111" s="220"/>
      <c r="B111" s="221" t="s">
        <v>243</v>
      </c>
      <c r="C111" s="221"/>
      <c r="D111" s="316">
        <v>0</v>
      </c>
      <c r="E111" s="316">
        <v>0</v>
      </c>
      <c r="F111" s="316">
        <v>0</v>
      </c>
      <c r="G111" s="218"/>
      <c r="H111" s="218"/>
    </row>
    <row r="112" spans="1:8">
      <c r="A112" s="220"/>
      <c r="B112" s="221" t="s">
        <v>241</v>
      </c>
      <c r="C112" s="221"/>
      <c r="D112" s="316">
        <v>0</v>
      </c>
      <c r="E112" s="316">
        <v>0</v>
      </c>
      <c r="F112" s="316">
        <v>0</v>
      </c>
      <c r="G112" s="218"/>
      <c r="H112" s="218"/>
    </row>
    <row r="113" spans="1:8">
      <c r="A113" s="220"/>
      <c r="B113" s="221" t="s">
        <v>239</v>
      </c>
      <c r="C113" s="221"/>
      <c r="D113" s="316">
        <v>46.29</v>
      </c>
      <c r="E113" s="316">
        <v>274.70999999999998</v>
      </c>
      <c r="F113" s="316">
        <v>321</v>
      </c>
      <c r="G113" s="218"/>
      <c r="H113" s="218"/>
    </row>
    <row r="114" spans="1:8">
      <c r="A114" s="220"/>
      <c r="B114" s="221" t="s">
        <v>236</v>
      </c>
      <c r="C114" s="221"/>
      <c r="D114" s="316">
        <v>635.03</v>
      </c>
      <c r="E114" s="316">
        <v>651.26</v>
      </c>
      <c r="F114" s="316">
        <v>1286.29</v>
      </c>
      <c r="G114" s="218"/>
      <c r="H114" s="218"/>
    </row>
    <row r="115" spans="1:8">
      <c r="A115" s="220"/>
      <c r="B115" s="221" t="s">
        <v>247</v>
      </c>
      <c r="C115" s="221"/>
      <c r="D115" s="316">
        <v>1044.3499999999999</v>
      </c>
      <c r="E115" s="316">
        <v>1268.6399999999999</v>
      </c>
      <c r="F115" s="316">
        <v>2312.9899999999998</v>
      </c>
      <c r="G115" s="218"/>
      <c r="H115" s="218"/>
    </row>
    <row r="116" spans="1:8">
      <c r="A116" s="220" t="s">
        <v>256</v>
      </c>
      <c r="B116" s="221"/>
      <c r="C116" s="221"/>
      <c r="D116" s="316">
        <f>SUM(D117:D121)</f>
        <v>6930</v>
      </c>
      <c r="E116" s="316">
        <f>SUM(E117:E121)</f>
        <v>0</v>
      </c>
      <c r="F116" s="316">
        <f>SUM(F117:F121)</f>
        <v>6930</v>
      </c>
      <c r="G116" s="218"/>
      <c r="H116" s="218"/>
    </row>
    <row r="117" spans="1:8">
      <c r="A117" s="220"/>
      <c r="B117" s="221" t="s">
        <v>250</v>
      </c>
      <c r="C117" s="221"/>
      <c r="D117" s="316">
        <v>0</v>
      </c>
      <c r="E117" s="316">
        <v>0</v>
      </c>
      <c r="F117" s="316">
        <v>0</v>
      </c>
      <c r="G117" s="218"/>
      <c r="H117" s="218"/>
    </row>
    <row r="118" spans="1:8">
      <c r="A118" s="220"/>
      <c r="B118" s="221" t="s">
        <v>602</v>
      </c>
      <c r="C118" s="221"/>
      <c r="D118" s="316">
        <v>0</v>
      </c>
      <c r="E118" s="316">
        <v>0</v>
      </c>
      <c r="F118" s="316">
        <v>0</v>
      </c>
      <c r="G118" s="218"/>
      <c r="H118" s="218"/>
    </row>
    <row r="119" spans="1:8">
      <c r="A119" s="220"/>
      <c r="B119" s="221" t="s">
        <v>249</v>
      </c>
      <c r="C119" s="221"/>
      <c r="D119" s="316">
        <v>0</v>
      </c>
      <c r="E119" s="316">
        <v>0</v>
      </c>
      <c r="F119" s="316">
        <v>0</v>
      </c>
      <c r="G119" s="218"/>
      <c r="H119" s="218"/>
    </row>
    <row r="120" spans="1:8">
      <c r="A120" s="220"/>
      <c r="B120" s="221" t="s">
        <v>248</v>
      </c>
      <c r="C120" s="221"/>
      <c r="D120" s="316">
        <v>6930</v>
      </c>
      <c r="E120" s="316">
        <v>0</v>
      </c>
      <c r="F120" s="316">
        <v>6930</v>
      </c>
      <c r="G120" s="218"/>
      <c r="H120" s="218"/>
    </row>
    <row r="121" spans="1:8">
      <c r="A121" s="220"/>
      <c r="B121" s="221" t="s">
        <v>257</v>
      </c>
      <c r="C121" s="221"/>
      <c r="D121" s="316">
        <v>0</v>
      </c>
      <c r="E121" s="316">
        <v>0</v>
      </c>
      <c r="F121" s="316">
        <v>0</v>
      </c>
      <c r="G121" s="218"/>
      <c r="H121" s="218"/>
    </row>
    <row r="122" spans="1:8">
      <c r="A122" s="220" t="s">
        <v>258</v>
      </c>
      <c r="B122" s="221"/>
      <c r="C122" s="221"/>
      <c r="D122" s="316">
        <f>SUM(D123:D126)</f>
        <v>0</v>
      </c>
      <c r="E122" s="316">
        <f>SUM(E123:E126)</f>
        <v>0</v>
      </c>
      <c r="F122" s="316">
        <f>SUM(F123:F126)</f>
        <v>0</v>
      </c>
      <c r="G122" s="218"/>
      <c r="H122" s="218"/>
    </row>
    <row r="123" spans="1:8">
      <c r="A123" s="220"/>
      <c r="B123" s="221" t="s">
        <v>239</v>
      </c>
      <c r="C123" s="221"/>
      <c r="D123" s="316">
        <v>0</v>
      </c>
      <c r="E123" s="316">
        <v>0</v>
      </c>
      <c r="F123" s="316">
        <v>0</v>
      </c>
      <c r="G123" s="218"/>
      <c r="H123" s="218"/>
    </row>
    <row r="124" spans="1:8">
      <c r="A124" s="220"/>
      <c r="B124" s="221" t="s">
        <v>246</v>
      </c>
      <c r="C124" s="221"/>
      <c r="D124" s="316">
        <v>0</v>
      </c>
      <c r="E124" s="316">
        <v>0</v>
      </c>
      <c r="F124" s="316">
        <v>0</v>
      </c>
      <c r="G124" s="218"/>
      <c r="H124" s="218"/>
    </row>
    <row r="125" spans="1:8">
      <c r="A125" s="220"/>
      <c r="B125" s="221" t="s">
        <v>236</v>
      </c>
      <c r="C125" s="221"/>
      <c r="D125" s="316">
        <v>0</v>
      </c>
      <c r="E125" s="316">
        <v>0</v>
      </c>
      <c r="F125" s="316">
        <v>0</v>
      </c>
      <c r="G125" s="218"/>
      <c r="H125" s="218"/>
    </row>
    <row r="126" spans="1:8">
      <c r="A126" s="220"/>
      <c r="B126" s="221" t="s">
        <v>247</v>
      </c>
      <c r="C126" s="221"/>
      <c r="D126" s="316">
        <v>0</v>
      </c>
      <c r="E126" s="316">
        <v>0</v>
      </c>
      <c r="F126" s="316">
        <v>0</v>
      </c>
      <c r="G126" s="218"/>
      <c r="H126" s="218"/>
    </row>
    <row r="127" spans="1:8">
      <c r="A127" s="220" t="s">
        <v>259</v>
      </c>
      <c r="B127" s="221"/>
      <c r="C127" s="221"/>
      <c r="D127" s="316">
        <f>SUM(D128:D130)</f>
        <v>2033.67</v>
      </c>
      <c r="E127" s="316">
        <f>SUM(E128:E130)</f>
        <v>18461.91</v>
      </c>
      <c r="F127" s="316">
        <f>SUM(F128:F130)</f>
        <v>20495.580000000002</v>
      </c>
      <c r="G127" s="218"/>
      <c r="H127" s="218"/>
    </row>
    <row r="128" spans="1:8">
      <c r="A128" s="220"/>
      <c r="B128" s="221" t="s">
        <v>239</v>
      </c>
      <c r="C128" s="221"/>
      <c r="D128" s="316">
        <v>1611.92</v>
      </c>
      <c r="E128" s="316">
        <v>13625.41</v>
      </c>
      <c r="F128" s="316">
        <v>15237.33</v>
      </c>
      <c r="G128" s="218"/>
      <c r="H128" s="218"/>
    </row>
    <row r="129" spans="1:8">
      <c r="A129" s="220"/>
      <c r="B129" s="221" t="s">
        <v>236</v>
      </c>
      <c r="C129" s="221"/>
      <c r="D129" s="316">
        <v>186.43</v>
      </c>
      <c r="E129" s="316">
        <v>2618.8000000000002</v>
      </c>
      <c r="F129" s="316">
        <v>2805.23</v>
      </c>
      <c r="G129" s="218"/>
      <c r="H129" s="218"/>
    </row>
    <row r="130" spans="1:8">
      <c r="A130" s="220"/>
      <c r="B130" s="221" t="s">
        <v>247</v>
      </c>
      <c r="C130" s="221"/>
      <c r="D130" s="316">
        <v>235.32</v>
      </c>
      <c r="E130" s="316">
        <v>2217.6999999999998</v>
      </c>
      <c r="F130" s="316">
        <v>2453.02</v>
      </c>
      <c r="G130" s="218"/>
      <c r="H130" s="218"/>
    </row>
    <row r="131" spans="1:8">
      <c r="A131" s="220" t="s">
        <v>603</v>
      </c>
      <c r="B131" s="221"/>
      <c r="C131" s="221"/>
      <c r="D131" s="316">
        <f>SUM(D132:D133)</f>
        <v>59358.42</v>
      </c>
      <c r="E131" s="316">
        <f>SUM(E132:E133)</f>
        <v>0</v>
      </c>
      <c r="F131" s="316">
        <f>SUM(F132:F133)</f>
        <v>59358.42</v>
      </c>
      <c r="G131" s="218"/>
      <c r="H131" s="218"/>
    </row>
    <row r="132" spans="1:8">
      <c r="A132" s="220"/>
      <c r="B132" s="221" t="s">
        <v>248</v>
      </c>
      <c r="C132" s="221"/>
      <c r="D132" s="316">
        <v>40000</v>
      </c>
      <c r="E132" s="316">
        <v>0</v>
      </c>
      <c r="F132" s="316">
        <v>40000</v>
      </c>
      <c r="G132" s="218"/>
      <c r="H132" s="218"/>
    </row>
    <row r="133" spans="1:8">
      <c r="A133" s="220"/>
      <c r="B133" s="221" t="s">
        <v>246</v>
      </c>
      <c r="C133" s="221"/>
      <c r="D133" s="316">
        <v>19358.419999999998</v>
      </c>
      <c r="E133" s="316">
        <v>0</v>
      </c>
      <c r="F133" s="316">
        <v>19358.419999999998</v>
      </c>
      <c r="G133" s="218"/>
      <c r="H133" s="218"/>
    </row>
    <row r="134" spans="1:8">
      <c r="A134" s="220" t="s">
        <v>260</v>
      </c>
      <c r="B134" s="221"/>
      <c r="C134" s="221"/>
      <c r="D134" s="316">
        <f>SUM(D135:D137)</f>
        <v>9000.4500000000007</v>
      </c>
      <c r="E134" s="316">
        <f>SUM(E135:E137)</f>
        <v>0</v>
      </c>
      <c r="F134" s="316">
        <f>SUM(F135:F137)</f>
        <v>9000.4500000000007</v>
      </c>
      <c r="G134" s="218"/>
      <c r="H134" s="218"/>
    </row>
    <row r="135" spans="1:8">
      <c r="A135" s="220"/>
      <c r="B135" s="221" t="s">
        <v>248</v>
      </c>
      <c r="C135" s="221"/>
      <c r="D135" s="316">
        <v>9000.4500000000007</v>
      </c>
      <c r="E135" s="316">
        <v>0</v>
      </c>
      <c r="F135" s="316">
        <v>9000.4500000000007</v>
      </c>
      <c r="G135" s="218"/>
      <c r="H135" s="218"/>
    </row>
    <row r="136" spans="1:8">
      <c r="A136" s="220"/>
      <c r="B136" s="221" t="s">
        <v>257</v>
      </c>
      <c r="C136" s="221"/>
      <c r="D136" s="316">
        <v>0</v>
      </c>
      <c r="E136" s="316">
        <v>0</v>
      </c>
      <c r="F136" s="316">
        <v>0</v>
      </c>
      <c r="G136" s="218"/>
      <c r="H136" s="218"/>
    </row>
    <row r="137" spans="1:8">
      <c r="A137" s="220"/>
      <c r="B137" s="221" t="s">
        <v>249</v>
      </c>
      <c r="C137" s="221"/>
      <c r="D137" s="316">
        <v>0</v>
      </c>
      <c r="E137" s="316">
        <v>0</v>
      </c>
      <c r="F137" s="316">
        <v>0</v>
      </c>
      <c r="G137" s="218"/>
      <c r="H137" s="218"/>
    </row>
    <row r="138" spans="1:8">
      <c r="A138" s="220" t="s">
        <v>261</v>
      </c>
      <c r="B138" s="221"/>
      <c r="C138" s="221"/>
      <c r="D138" s="316">
        <v>0</v>
      </c>
      <c r="E138" s="316">
        <v>0</v>
      </c>
      <c r="F138" s="316">
        <v>0</v>
      </c>
      <c r="G138" s="218"/>
      <c r="H138" s="218"/>
    </row>
    <row r="139" spans="1:8">
      <c r="A139" s="220"/>
      <c r="B139" s="221" t="s">
        <v>249</v>
      </c>
      <c r="C139" s="221"/>
      <c r="D139" s="316">
        <v>0</v>
      </c>
      <c r="E139" s="316">
        <v>0</v>
      </c>
      <c r="F139" s="316">
        <v>0</v>
      </c>
      <c r="G139" s="218"/>
      <c r="H139" s="218"/>
    </row>
    <row r="140" spans="1:8">
      <c r="A140" s="220" t="s">
        <v>262</v>
      </c>
      <c r="B140" s="221"/>
      <c r="C140" s="221"/>
      <c r="D140" s="316">
        <f>SUM(D141:D149)</f>
        <v>582012.21</v>
      </c>
      <c r="E140" s="316">
        <f>SUM(E141:E149)</f>
        <v>438890.41000000003</v>
      </c>
      <c r="F140" s="316">
        <f>SUM(F141:F149)</f>
        <v>1020902.6200000002</v>
      </c>
      <c r="G140" s="218"/>
      <c r="H140" s="218"/>
    </row>
    <row r="141" spans="1:8">
      <c r="A141" s="220"/>
      <c r="B141" s="221" t="s">
        <v>245</v>
      </c>
      <c r="C141" s="221"/>
      <c r="D141" s="316">
        <v>0</v>
      </c>
      <c r="E141" s="316">
        <v>0</v>
      </c>
      <c r="F141" s="316">
        <v>0</v>
      </c>
      <c r="G141" s="218"/>
      <c r="H141" s="218"/>
    </row>
    <row r="142" spans="1:8">
      <c r="A142" s="220"/>
      <c r="B142" s="221" t="s">
        <v>244</v>
      </c>
      <c r="C142" s="221"/>
      <c r="D142" s="316">
        <v>0</v>
      </c>
      <c r="E142" s="316">
        <v>0</v>
      </c>
      <c r="F142" s="316">
        <v>0</v>
      </c>
      <c r="G142" s="218"/>
      <c r="H142" s="218"/>
    </row>
    <row r="143" spans="1:8">
      <c r="A143" s="220"/>
      <c r="B143" s="221" t="s">
        <v>243</v>
      </c>
      <c r="C143" s="221"/>
      <c r="D143" s="316">
        <v>0</v>
      </c>
      <c r="E143" s="316">
        <v>0</v>
      </c>
      <c r="F143" s="316">
        <v>0</v>
      </c>
      <c r="G143" s="218"/>
      <c r="H143" s="218"/>
    </row>
    <row r="144" spans="1:8">
      <c r="A144" s="220"/>
      <c r="B144" s="221" t="s">
        <v>241</v>
      </c>
      <c r="C144" s="221"/>
      <c r="D144" s="316">
        <v>0</v>
      </c>
      <c r="E144" s="316">
        <v>0</v>
      </c>
      <c r="F144" s="316">
        <v>0</v>
      </c>
      <c r="G144" s="218"/>
      <c r="H144" s="218"/>
    </row>
    <row r="145" spans="1:8">
      <c r="A145" s="220"/>
      <c r="B145" s="221" t="s">
        <v>248</v>
      </c>
      <c r="C145" s="221"/>
      <c r="D145" s="316">
        <v>25430.68</v>
      </c>
      <c r="E145" s="316">
        <v>7940.68</v>
      </c>
      <c r="F145" s="316">
        <v>33371.360000000001</v>
      </c>
      <c r="G145" s="218"/>
      <c r="H145" s="218"/>
    </row>
    <row r="146" spans="1:8">
      <c r="A146" s="220"/>
      <c r="B146" s="221" t="s">
        <v>242</v>
      </c>
      <c r="C146" s="221"/>
      <c r="D146" s="316">
        <v>11821.87</v>
      </c>
      <c r="E146" s="316">
        <v>1068.07</v>
      </c>
      <c r="F146" s="316">
        <v>12889.94</v>
      </c>
      <c r="G146" s="218"/>
      <c r="H146" s="218"/>
    </row>
    <row r="147" spans="1:8">
      <c r="A147" s="220"/>
      <c r="B147" s="221" t="s">
        <v>239</v>
      </c>
      <c r="C147" s="221"/>
      <c r="D147" s="316">
        <v>364853.51</v>
      </c>
      <c r="E147" s="316">
        <v>181359.06</v>
      </c>
      <c r="F147" s="316">
        <v>546212.57000000007</v>
      </c>
      <c r="G147" s="218"/>
      <c r="H147" s="218"/>
    </row>
    <row r="148" spans="1:8">
      <c r="A148" s="220"/>
      <c r="B148" s="221" t="s">
        <v>236</v>
      </c>
      <c r="C148" s="221"/>
      <c r="D148" s="316">
        <v>68637.960000000006</v>
      </c>
      <c r="E148" s="316">
        <v>222076.89</v>
      </c>
      <c r="F148" s="316">
        <v>290714.85000000003</v>
      </c>
      <c r="G148" s="218"/>
      <c r="H148" s="218"/>
    </row>
    <row r="149" spans="1:8">
      <c r="A149" s="220"/>
      <c r="B149" s="221" t="s">
        <v>247</v>
      </c>
      <c r="C149" s="221"/>
      <c r="D149" s="316">
        <v>111268.19</v>
      </c>
      <c r="E149" s="316">
        <v>26445.71</v>
      </c>
      <c r="F149" s="316">
        <v>137713.9</v>
      </c>
      <c r="G149" s="218"/>
      <c r="H149" s="218"/>
    </row>
    <row r="150" spans="1:8">
      <c r="A150" s="220" t="s">
        <v>263</v>
      </c>
      <c r="B150" s="221"/>
      <c r="C150" s="221"/>
      <c r="D150" s="316">
        <f>SUM(D151:D155)</f>
        <v>903134.49</v>
      </c>
      <c r="E150" s="316">
        <f>SUM(E151:E155)</f>
        <v>15901.970000000001</v>
      </c>
      <c r="F150" s="316">
        <f>SUM(F151:F155)</f>
        <v>919036.46</v>
      </c>
      <c r="G150" s="218"/>
      <c r="H150" s="218"/>
    </row>
    <row r="151" spans="1:8">
      <c r="A151" s="220"/>
      <c r="B151" s="221" t="s">
        <v>248</v>
      </c>
      <c r="C151" s="221"/>
      <c r="D151" s="316">
        <v>22240</v>
      </c>
      <c r="E151" s="316">
        <v>0</v>
      </c>
      <c r="F151" s="316">
        <v>22240</v>
      </c>
      <c r="G151" s="218"/>
      <c r="H151" s="218"/>
    </row>
    <row r="152" spans="1:8">
      <c r="A152" s="220"/>
      <c r="B152" s="221" t="s">
        <v>257</v>
      </c>
      <c r="C152" s="221"/>
      <c r="D152" s="316">
        <v>0</v>
      </c>
      <c r="E152" s="316">
        <v>0</v>
      </c>
      <c r="F152" s="316">
        <v>0</v>
      </c>
      <c r="G152" s="218"/>
      <c r="H152" s="218"/>
    </row>
    <row r="153" spans="1:8">
      <c r="A153" s="220"/>
      <c r="B153" s="221" t="s">
        <v>239</v>
      </c>
      <c r="C153" s="221"/>
      <c r="D153" s="316">
        <v>871484.33</v>
      </c>
      <c r="E153" s="316">
        <v>2982.0299999999997</v>
      </c>
      <c r="F153" s="316">
        <v>874466.36</v>
      </c>
      <c r="G153" s="218"/>
      <c r="H153" s="218"/>
    </row>
    <row r="154" spans="1:8">
      <c r="A154" s="220"/>
      <c r="B154" s="221" t="s">
        <v>236</v>
      </c>
      <c r="C154" s="221"/>
      <c r="D154" s="316">
        <v>9410.16</v>
      </c>
      <c r="E154" s="316">
        <v>12919.94</v>
      </c>
      <c r="F154" s="316">
        <v>22330.1</v>
      </c>
      <c r="G154" s="218"/>
      <c r="H154" s="218"/>
    </row>
    <row r="155" spans="1:8">
      <c r="A155" s="220"/>
      <c r="B155" s="221" t="s">
        <v>247</v>
      </c>
      <c r="C155" s="221"/>
      <c r="D155" s="316">
        <v>0</v>
      </c>
      <c r="E155" s="316">
        <v>0</v>
      </c>
      <c r="F155" s="316">
        <v>0</v>
      </c>
      <c r="G155" s="218"/>
      <c r="H155" s="218"/>
    </row>
    <row r="156" spans="1:8">
      <c r="A156" s="220" t="s">
        <v>264</v>
      </c>
      <c r="B156" s="221"/>
      <c r="C156" s="221"/>
      <c r="D156" s="316">
        <f>SUM(D157:D159)</f>
        <v>15912.95</v>
      </c>
      <c r="E156" s="316">
        <f>SUM(E157:E159)</f>
        <v>6566.65</v>
      </c>
      <c r="F156" s="316">
        <f>SUM(F157:F159)</f>
        <v>22479.599999999999</v>
      </c>
      <c r="G156" s="218"/>
      <c r="H156" s="218"/>
    </row>
    <row r="157" spans="1:8">
      <c r="A157" s="220"/>
      <c r="B157" s="221" t="s">
        <v>248</v>
      </c>
      <c r="C157" s="221"/>
      <c r="D157" s="316">
        <v>4014.48</v>
      </c>
      <c r="E157" s="316">
        <v>0</v>
      </c>
      <c r="F157" s="316">
        <v>4014.48</v>
      </c>
      <c r="G157" s="218"/>
      <c r="H157" s="218"/>
    </row>
    <row r="158" spans="1:8">
      <c r="A158" s="220"/>
      <c r="B158" s="221" t="s">
        <v>239</v>
      </c>
      <c r="C158" s="221"/>
      <c r="D158" s="316">
        <v>626.7299999999999</v>
      </c>
      <c r="E158" s="316">
        <v>335.08</v>
      </c>
      <c r="F158" s="316">
        <v>961.81</v>
      </c>
      <c r="G158" s="218"/>
      <c r="H158" s="218"/>
    </row>
    <row r="159" spans="1:8">
      <c r="A159" s="220"/>
      <c r="B159" s="221" t="s">
        <v>236</v>
      </c>
      <c r="C159" s="221"/>
      <c r="D159" s="316">
        <v>11271.74</v>
      </c>
      <c r="E159" s="316">
        <v>6231.57</v>
      </c>
      <c r="F159" s="316">
        <v>17503.309999999998</v>
      </c>
      <c r="G159" s="218"/>
      <c r="H159" s="218"/>
    </row>
    <row r="160" spans="1:8">
      <c r="A160" s="220" t="s">
        <v>265</v>
      </c>
      <c r="B160" s="221"/>
      <c r="C160" s="221"/>
      <c r="D160" s="316">
        <v>0</v>
      </c>
      <c r="E160" s="316">
        <v>0</v>
      </c>
      <c r="F160" s="316">
        <v>0</v>
      </c>
      <c r="G160" s="218"/>
      <c r="H160" s="218"/>
    </row>
    <row r="161" spans="1:8">
      <c r="A161" s="220"/>
      <c r="B161" s="221" t="s">
        <v>239</v>
      </c>
      <c r="C161" s="221"/>
      <c r="D161" s="316">
        <v>0</v>
      </c>
      <c r="E161" s="316">
        <v>0</v>
      </c>
      <c r="F161" s="316">
        <v>0</v>
      </c>
      <c r="G161" s="218"/>
      <c r="H161" s="218"/>
    </row>
    <row r="162" spans="1:8">
      <c r="A162" s="220"/>
      <c r="B162" s="221" t="s">
        <v>236</v>
      </c>
      <c r="C162" s="221"/>
      <c r="D162" s="316">
        <v>0</v>
      </c>
      <c r="E162" s="316">
        <v>0</v>
      </c>
      <c r="F162" s="316">
        <v>0</v>
      </c>
      <c r="G162" s="218"/>
      <c r="H162" s="218"/>
    </row>
    <row r="163" spans="1:8">
      <c r="A163" s="220" t="s">
        <v>604</v>
      </c>
      <c r="B163" s="221"/>
      <c r="C163" s="221"/>
      <c r="D163" s="316">
        <v>1160.25</v>
      </c>
      <c r="E163" s="316">
        <v>0</v>
      </c>
      <c r="F163" s="316">
        <v>1160.25</v>
      </c>
      <c r="G163" s="218"/>
      <c r="H163" s="218"/>
    </row>
    <row r="164" spans="1:8">
      <c r="A164" s="220"/>
      <c r="B164" s="221" t="s">
        <v>271</v>
      </c>
      <c r="C164" s="221"/>
      <c r="D164" s="316">
        <v>0</v>
      </c>
      <c r="E164" s="316">
        <v>0</v>
      </c>
      <c r="F164" s="316">
        <v>0</v>
      </c>
      <c r="G164" s="218"/>
      <c r="H164" s="218"/>
    </row>
    <row r="165" spans="1:8">
      <c r="A165" s="220"/>
      <c r="B165" s="221" t="s">
        <v>248</v>
      </c>
      <c r="C165" s="221"/>
      <c r="D165" s="316">
        <v>1160.25</v>
      </c>
      <c r="E165" s="316">
        <v>0</v>
      </c>
      <c r="F165" s="316">
        <v>1160.25</v>
      </c>
      <c r="G165" s="218"/>
      <c r="H165" s="218"/>
    </row>
    <row r="166" spans="1:8">
      <c r="A166" s="220" t="s">
        <v>266</v>
      </c>
      <c r="B166" s="221"/>
      <c r="C166" s="221"/>
      <c r="D166" s="316">
        <f>SUM(D167:D173)</f>
        <v>58289.83</v>
      </c>
      <c r="E166" s="316">
        <f>SUM(E167:E173)</f>
        <v>103511.23000000001</v>
      </c>
      <c r="F166" s="316">
        <f>SUM(F167:F173)</f>
        <v>161801.06</v>
      </c>
      <c r="G166" s="218"/>
      <c r="H166" s="218"/>
    </row>
    <row r="167" spans="1:8">
      <c r="A167" s="220"/>
      <c r="B167" s="221" t="s">
        <v>245</v>
      </c>
      <c r="C167" s="221"/>
      <c r="D167" s="316">
        <v>0</v>
      </c>
      <c r="E167" s="316">
        <v>0</v>
      </c>
      <c r="F167" s="316">
        <v>0</v>
      </c>
      <c r="G167" s="218"/>
      <c r="H167" s="218"/>
    </row>
    <row r="168" spans="1:8">
      <c r="A168" s="220"/>
      <c r="B168" s="221" t="s">
        <v>243</v>
      </c>
      <c r="C168" s="221"/>
      <c r="D168" s="316">
        <v>0</v>
      </c>
      <c r="E168" s="316">
        <v>0</v>
      </c>
      <c r="F168" s="316">
        <v>0</v>
      </c>
      <c r="G168" s="218"/>
      <c r="H168" s="218"/>
    </row>
    <row r="169" spans="1:8">
      <c r="A169" s="220"/>
      <c r="B169" s="221" t="s">
        <v>241</v>
      </c>
      <c r="C169" s="221"/>
      <c r="D169" s="316">
        <v>0</v>
      </c>
      <c r="E169" s="316">
        <v>0</v>
      </c>
      <c r="F169" s="316">
        <v>0</v>
      </c>
      <c r="G169" s="218"/>
      <c r="H169" s="218"/>
    </row>
    <row r="170" spans="1:8">
      <c r="A170" s="220"/>
      <c r="B170" s="221" t="s">
        <v>242</v>
      </c>
      <c r="C170" s="221"/>
      <c r="D170" s="316">
        <v>1934.04</v>
      </c>
      <c r="E170" s="316">
        <v>161.13999999999999</v>
      </c>
      <c r="F170" s="316">
        <v>2095.1799999999998</v>
      </c>
      <c r="G170" s="218"/>
      <c r="H170" s="218"/>
    </row>
    <row r="171" spans="1:8">
      <c r="A171" s="220"/>
      <c r="B171" s="221" t="s">
        <v>239</v>
      </c>
      <c r="C171" s="221"/>
      <c r="D171" s="316">
        <v>2155.5699999999997</v>
      </c>
      <c r="E171" s="316">
        <v>11497.99</v>
      </c>
      <c r="F171" s="316">
        <v>13653.56</v>
      </c>
      <c r="G171" s="218"/>
      <c r="H171" s="218"/>
    </row>
    <row r="172" spans="1:8">
      <c r="A172" s="220"/>
      <c r="B172" s="221" t="s">
        <v>236</v>
      </c>
      <c r="C172" s="221"/>
      <c r="D172" s="316">
        <v>54200.22</v>
      </c>
      <c r="E172" s="316">
        <v>91852.1</v>
      </c>
      <c r="F172" s="316">
        <v>146052.32</v>
      </c>
      <c r="G172" s="218"/>
      <c r="H172" s="218"/>
    </row>
    <row r="173" spans="1:8">
      <c r="A173" s="220"/>
      <c r="B173" s="221" t="s">
        <v>247</v>
      </c>
      <c r="C173" s="221"/>
      <c r="D173" s="316">
        <v>0</v>
      </c>
      <c r="E173" s="316">
        <v>0</v>
      </c>
      <c r="F173" s="316">
        <v>0</v>
      </c>
      <c r="G173" s="218"/>
      <c r="H173" s="218"/>
    </row>
    <row r="174" spans="1:8">
      <c r="A174" s="220" t="s">
        <v>605</v>
      </c>
      <c r="B174" s="221"/>
      <c r="C174" s="221"/>
      <c r="D174" s="316">
        <v>0</v>
      </c>
      <c r="E174" s="316">
        <v>0</v>
      </c>
      <c r="F174" s="316">
        <v>0</v>
      </c>
      <c r="G174" s="218"/>
      <c r="H174" s="218"/>
    </row>
    <row r="175" spans="1:8">
      <c r="A175" s="220"/>
      <c r="B175" s="221" t="s">
        <v>271</v>
      </c>
      <c r="C175" s="221"/>
      <c r="D175" s="316">
        <v>0</v>
      </c>
      <c r="E175" s="316">
        <v>0</v>
      </c>
      <c r="F175" s="316">
        <v>0</v>
      </c>
      <c r="G175" s="218"/>
      <c r="H175" s="218"/>
    </row>
    <row r="176" spans="1:8">
      <c r="A176" s="220"/>
      <c r="B176" s="221" t="s">
        <v>239</v>
      </c>
      <c r="C176" s="221"/>
      <c r="D176" s="316">
        <v>0</v>
      </c>
      <c r="E176" s="316">
        <v>0</v>
      </c>
      <c r="F176" s="316">
        <v>0</v>
      </c>
      <c r="G176" s="218"/>
      <c r="H176" s="218"/>
    </row>
    <row r="177" spans="1:8">
      <c r="A177" s="220" t="s">
        <v>267</v>
      </c>
      <c r="B177" s="221"/>
      <c r="C177" s="221"/>
      <c r="D177" s="316">
        <v>718.94</v>
      </c>
      <c r="E177" s="316">
        <v>0</v>
      </c>
      <c r="F177" s="316">
        <v>718.94</v>
      </c>
      <c r="G177" s="218"/>
      <c r="H177" s="218"/>
    </row>
    <row r="178" spans="1:8">
      <c r="A178" s="220"/>
      <c r="B178" s="221" t="s">
        <v>248</v>
      </c>
      <c r="C178" s="221"/>
      <c r="D178" s="316">
        <v>718.94</v>
      </c>
      <c r="E178" s="316">
        <v>0</v>
      </c>
      <c r="F178" s="316">
        <v>718.94</v>
      </c>
      <c r="G178" s="218"/>
      <c r="H178" s="218"/>
    </row>
    <row r="179" spans="1:8">
      <c r="A179" s="220" t="s">
        <v>606</v>
      </c>
      <c r="B179" s="221"/>
      <c r="C179" s="221"/>
      <c r="D179" s="316">
        <v>45.43</v>
      </c>
      <c r="E179" s="316">
        <v>0</v>
      </c>
      <c r="F179" s="316">
        <v>45.43</v>
      </c>
      <c r="G179" s="218"/>
      <c r="H179" s="218"/>
    </row>
    <row r="180" spans="1:8">
      <c r="A180" s="220"/>
      <c r="B180" s="221" t="s">
        <v>239</v>
      </c>
      <c r="C180" s="221"/>
      <c r="D180" s="316">
        <v>45.43</v>
      </c>
      <c r="E180" s="316">
        <v>0</v>
      </c>
      <c r="F180" s="316">
        <v>45.43</v>
      </c>
      <c r="G180" s="218"/>
      <c r="H180" s="218"/>
    </row>
    <row r="181" spans="1:8">
      <c r="A181" s="220" t="s">
        <v>607</v>
      </c>
      <c r="B181" s="221"/>
      <c r="C181" s="221"/>
      <c r="D181" s="316">
        <v>13.13</v>
      </c>
      <c r="E181" s="316">
        <v>76.83</v>
      </c>
      <c r="F181" s="316">
        <v>89.96</v>
      </c>
      <c r="G181" s="218"/>
      <c r="H181" s="218"/>
    </row>
    <row r="182" spans="1:8">
      <c r="A182" s="220"/>
      <c r="B182" s="221" t="s">
        <v>239</v>
      </c>
      <c r="C182" s="221"/>
      <c r="D182" s="316">
        <v>13.13</v>
      </c>
      <c r="E182" s="316">
        <v>76.83</v>
      </c>
      <c r="F182" s="316">
        <v>89.96</v>
      </c>
      <c r="G182" s="218"/>
      <c r="H182" s="218"/>
    </row>
    <row r="183" spans="1:8">
      <c r="A183" s="220" t="s">
        <v>268</v>
      </c>
      <c r="B183" s="222"/>
      <c r="C183" s="222"/>
      <c r="D183" s="316">
        <v>0</v>
      </c>
      <c r="E183" s="316">
        <v>0</v>
      </c>
      <c r="F183" s="316">
        <v>0</v>
      </c>
      <c r="G183" s="218"/>
      <c r="H183" s="218"/>
    </row>
    <row r="184" spans="1:8">
      <c r="A184" s="220"/>
      <c r="B184" s="222" t="s">
        <v>250</v>
      </c>
      <c r="C184" s="222"/>
      <c r="D184" s="316">
        <v>0</v>
      </c>
      <c r="E184" s="316">
        <v>0</v>
      </c>
      <c r="F184" s="316">
        <v>0</v>
      </c>
      <c r="G184" s="218"/>
      <c r="H184" s="218"/>
    </row>
    <row r="185" spans="1:8">
      <c r="A185" s="220" t="s">
        <v>269</v>
      </c>
      <c r="B185" s="222"/>
      <c r="C185" s="222"/>
      <c r="D185" s="316">
        <f>SUM(D186:D195)</f>
        <v>332261.09999999998</v>
      </c>
      <c r="E185" s="316">
        <f>SUM(E186:E195)</f>
        <v>1880403.58</v>
      </c>
      <c r="F185" s="316">
        <f>SUM(F186:F195)</f>
        <v>2212664.6800000002</v>
      </c>
      <c r="G185" s="218"/>
      <c r="H185" s="218"/>
    </row>
    <row r="186" spans="1:8">
      <c r="A186" s="220"/>
      <c r="B186" s="222" t="s">
        <v>245</v>
      </c>
      <c r="C186" s="222"/>
      <c r="D186" s="316">
        <v>0</v>
      </c>
      <c r="E186" s="316">
        <v>0</v>
      </c>
      <c r="F186" s="316">
        <v>0</v>
      </c>
      <c r="G186" s="218"/>
      <c r="H186" s="218"/>
    </row>
    <row r="187" spans="1:8">
      <c r="A187" s="220"/>
      <c r="B187" s="222" t="s">
        <v>244</v>
      </c>
      <c r="C187" s="222"/>
      <c r="D187" s="316">
        <v>0</v>
      </c>
      <c r="E187" s="316">
        <v>0</v>
      </c>
      <c r="F187" s="316">
        <v>0</v>
      </c>
      <c r="G187" s="218"/>
      <c r="H187" s="218"/>
    </row>
    <row r="188" spans="1:8">
      <c r="A188" s="220"/>
      <c r="B188" s="222" t="s">
        <v>243</v>
      </c>
      <c r="C188" s="222"/>
      <c r="D188" s="316">
        <v>0</v>
      </c>
      <c r="E188" s="316">
        <v>0</v>
      </c>
      <c r="F188" s="316">
        <v>0</v>
      </c>
      <c r="G188" s="218"/>
      <c r="H188" s="218"/>
    </row>
    <row r="189" spans="1:8">
      <c r="A189" s="220"/>
      <c r="B189" s="222" t="s">
        <v>248</v>
      </c>
      <c r="C189" s="222"/>
      <c r="D189" s="316">
        <v>0</v>
      </c>
      <c r="E189" s="316">
        <v>1011.53</v>
      </c>
      <c r="F189" s="316">
        <v>1011.53</v>
      </c>
      <c r="G189" s="218"/>
      <c r="H189" s="218"/>
    </row>
    <row r="190" spans="1:8">
      <c r="A190" s="220"/>
      <c r="B190" s="222" t="s">
        <v>241</v>
      </c>
      <c r="C190" s="222"/>
      <c r="D190" s="316">
        <v>0</v>
      </c>
      <c r="E190" s="316">
        <v>0</v>
      </c>
      <c r="F190" s="316">
        <v>0</v>
      </c>
      <c r="G190" s="218"/>
      <c r="H190" s="218"/>
    </row>
    <row r="191" spans="1:8">
      <c r="A191" s="220"/>
      <c r="B191" s="222" t="s">
        <v>242</v>
      </c>
      <c r="C191" s="222"/>
      <c r="D191" s="316">
        <v>59514.92</v>
      </c>
      <c r="E191" s="316">
        <v>339164.62</v>
      </c>
      <c r="F191" s="316">
        <v>398679.54</v>
      </c>
      <c r="G191" s="218"/>
      <c r="H191" s="218"/>
    </row>
    <row r="192" spans="1:8">
      <c r="A192" s="220"/>
      <c r="B192" s="222" t="s">
        <v>239</v>
      </c>
      <c r="C192" s="222"/>
      <c r="D192" s="316">
        <v>34456.639999999999</v>
      </c>
      <c r="E192" s="316">
        <v>184121.45</v>
      </c>
      <c r="F192" s="316">
        <v>218578.09000000003</v>
      </c>
      <c r="G192" s="218"/>
      <c r="H192" s="218"/>
    </row>
    <row r="193" spans="1:8">
      <c r="A193" s="220"/>
      <c r="B193" s="222" t="s">
        <v>246</v>
      </c>
      <c r="C193" s="222"/>
      <c r="D193" s="316">
        <v>121137.14</v>
      </c>
      <c r="E193" s="316">
        <v>617781.31999999995</v>
      </c>
      <c r="F193" s="316">
        <v>738918.46</v>
      </c>
      <c r="G193" s="218"/>
      <c r="H193" s="218"/>
    </row>
    <row r="194" spans="1:8">
      <c r="A194" s="220"/>
      <c r="B194" s="222" t="s">
        <v>236</v>
      </c>
      <c r="C194" s="222"/>
      <c r="D194" s="316">
        <v>65124.12</v>
      </c>
      <c r="E194" s="316">
        <v>356906.35</v>
      </c>
      <c r="F194" s="316">
        <v>422030.47</v>
      </c>
      <c r="G194" s="218"/>
      <c r="H194" s="218"/>
    </row>
    <row r="195" spans="1:8">
      <c r="A195" s="220"/>
      <c r="B195" s="222" t="s">
        <v>247</v>
      </c>
      <c r="C195" s="222"/>
      <c r="D195" s="316">
        <v>52028.28</v>
      </c>
      <c r="E195" s="316">
        <v>381418.31</v>
      </c>
      <c r="F195" s="316">
        <v>433446.58999999997</v>
      </c>
      <c r="G195" s="218"/>
      <c r="H195" s="218"/>
    </row>
    <row r="196" spans="1:8">
      <c r="A196" s="220" t="s">
        <v>270</v>
      </c>
      <c r="B196" s="222"/>
      <c r="C196" s="222"/>
      <c r="D196" s="316">
        <f>SUM(D197:D210)</f>
        <v>187204.46999999997</v>
      </c>
      <c r="E196" s="316">
        <f>SUM(E197:E210)</f>
        <v>0</v>
      </c>
      <c r="F196" s="316">
        <f>SUM(F197:F210)</f>
        <v>187204.46999999997</v>
      </c>
      <c r="G196" s="218"/>
      <c r="H196" s="218"/>
    </row>
    <row r="197" spans="1:8">
      <c r="A197" s="220"/>
      <c r="B197" s="222" t="s">
        <v>250</v>
      </c>
      <c r="C197" s="222"/>
      <c r="D197" s="316">
        <v>0</v>
      </c>
      <c r="E197" s="316">
        <v>0</v>
      </c>
      <c r="F197" s="316">
        <v>0</v>
      </c>
      <c r="G197" s="218"/>
      <c r="H197" s="218"/>
    </row>
    <row r="198" spans="1:8">
      <c r="A198" s="220"/>
      <c r="B198" s="222" t="s">
        <v>245</v>
      </c>
      <c r="C198" s="222"/>
      <c r="D198" s="316">
        <v>0</v>
      </c>
      <c r="E198" s="316">
        <v>0</v>
      </c>
      <c r="F198" s="316">
        <v>0</v>
      </c>
      <c r="G198" s="218"/>
      <c r="H198" s="218"/>
    </row>
    <row r="199" spans="1:8">
      <c r="A199" s="220"/>
      <c r="B199" s="222" t="s">
        <v>244</v>
      </c>
      <c r="C199" s="222"/>
      <c r="D199" s="316">
        <v>0</v>
      </c>
      <c r="E199" s="316">
        <v>0</v>
      </c>
      <c r="F199" s="316">
        <v>0</v>
      </c>
      <c r="G199" s="218"/>
      <c r="H199" s="218"/>
    </row>
    <row r="200" spans="1:8">
      <c r="A200" s="220"/>
      <c r="B200" s="222" t="s">
        <v>271</v>
      </c>
      <c r="C200" s="222"/>
      <c r="D200" s="316">
        <v>0</v>
      </c>
      <c r="E200" s="316">
        <v>0</v>
      </c>
      <c r="F200" s="316">
        <v>0</v>
      </c>
      <c r="G200" s="218"/>
      <c r="H200" s="218"/>
    </row>
    <row r="201" spans="1:8">
      <c r="A201" s="220"/>
      <c r="B201" s="222" t="s">
        <v>243</v>
      </c>
      <c r="C201" s="222"/>
      <c r="D201" s="316">
        <v>0</v>
      </c>
      <c r="E201" s="316">
        <v>0</v>
      </c>
      <c r="F201" s="316">
        <v>0</v>
      </c>
      <c r="G201" s="218"/>
      <c r="H201" s="218"/>
    </row>
    <row r="202" spans="1:8">
      <c r="A202" s="220"/>
      <c r="B202" s="222" t="s">
        <v>248</v>
      </c>
      <c r="C202" s="222"/>
      <c r="D202" s="316">
        <v>525.96</v>
      </c>
      <c r="E202" s="316">
        <v>0</v>
      </c>
      <c r="F202" s="316">
        <v>525.96</v>
      </c>
      <c r="G202" s="218"/>
      <c r="H202" s="218"/>
    </row>
    <row r="203" spans="1:8">
      <c r="A203" s="220"/>
      <c r="B203" s="222" t="s">
        <v>242</v>
      </c>
      <c r="C203" s="222"/>
      <c r="D203" s="316">
        <v>108609.36</v>
      </c>
      <c r="E203" s="316">
        <v>0</v>
      </c>
      <c r="F203" s="316">
        <v>108609.36</v>
      </c>
      <c r="G203" s="218"/>
      <c r="H203" s="218"/>
    </row>
    <row r="204" spans="1:8">
      <c r="A204" s="220"/>
      <c r="B204" s="222" t="s">
        <v>249</v>
      </c>
      <c r="C204" s="222"/>
      <c r="D204" s="316">
        <v>0</v>
      </c>
      <c r="E204" s="316">
        <v>0</v>
      </c>
      <c r="F204" s="316">
        <v>0</v>
      </c>
      <c r="G204" s="218"/>
      <c r="H204" s="218"/>
    </row>
    <row r="205" spans="1:8">
      <c r="A205" s="220"/>
      <c r="B205" s="222" t="s">
        <v>257</v>
      </c>
      <c r="C205" s="222"/>
      <c r="D205" s="316">
        <v>0</v>
      </c>
      <c r="E205" s="316">
        <v>0</v>
      </c>
      <c r="F205" s="316">
        <v>0</v>
      </c>
      <c r="G205" s="218"/>
      <c r="H205" s="218"/>
    </row>
    <row r="206" spans="1:8">
      <c r="A206" s="220"/>
      <c r="B206" s="222" t="s">
        <v>241</v>
      </c>
      <c r="C206" s="222"/>
      <c r="D206" s="316">
        <v>0</v>
      </c>
      <c r="E206" s="316">
        <v>0</v>
      </c>
      <c r="F206" s="316">
        <v>0</v>
      </c>
      <c r="G206" s="218"/>
      <c r="H206" s="218"/>
    </row>
    <row r="207" spans="1:8">
      <c r="A207" s="220"/>
      <c r="B207" s="222" t="s">
        <v>239</v>
      </c>
      <c r="C207" s="222"/>
      <c r="D207" s="316">
        <v>7016.45</v>
      </c>
      <c r="E207" s="316">
        <v>0</v>
      </c>
      <c r="F207" s="316">
        <v>7016.45</v>
      </c>
      <c r="G207" s="218"/>
      <c r="H207" s="218"/>
    </row>
    <row r="208" spans="1:8">
      <c r="A208" s="220"/>
      <c r="B208" s="222" t="s">
        <v>246</v>
      </c>
      <c r="C208" s="222"/>
      <c r="D208" s="316">
        <v>8111.64</v>
      </c>
      <c r="E208" s="316">
        <v>0</v>
      </c>
      <c r="F208" s="316">
        <v>8111.64</v>
      </c>
      <c r="G208" s="218"/>
      <c r="H208" s="218"/>
    </row>
    <row r="209" spans="1:8">
      <c r="A209" s="220"/>
      <c r="B209" s="222" t="s">
        <v>236</v>
      </c>
      <c r="C209" s="222"/>
      <c r="D209" s="316">
        <v>19846.580000000002</v>
      </c>
      <c r="E209" s="316">
        <v>0</v>
      </c>
      <c r="F209" s="316">
        <v>19846.580000000002</v>
      </c>
      <c r="G209" s="218"/>
      <c r="H209" s="218"/>
    </row>
    <row r="210" spans="1:8">
      <c r="A210" s="220"/>
      <c r="B210" s="222" t="s">
        <v>247</v>
      </c>
      <c r="C210" s="222"/>
      <c r="D210" s="316">
        <v>43094.479999999996</v>
      </c>
      <c r="E210" s="316">
        <v>0</v>
      </c>
      <c r="F210" s="316">
        <v>43094.479999999996</v>
      </c>
      <c r="G210" s="218"/>
      <c r="H210" s="218"/>
    </row>
    <row r="211" spans="1:8">
      <c r="A211" s="220" t="s">
        <v>272</v>
      </c>
      <c r="B211" s="222"/>
      <c r="C211" s="222"/>
      <c r="D211" s="316">
        <f>SUM(D212:D226)</f>
        <v>6867052.6500000004</v>
      </c>
      <c r="E211" s="316">
        <f>SUM(E212:E226)</f>
        <v>0</v>
      </c>
      <c r="F211" s="316">
        <f>SUM(F212:F226)</f>
        <v>6867052.6500000004</v>
      </c>
      <c r="G211" s="218"/>
      <c r="H211" s="218"/>
    </row>
    <row r="212" spans="1:8">
      <c r="A212" s="220"/>
      <c r="B212" s="222" t="s">
        <v>250</v>
      </c>
      <c r="C212" s="222"/>
      <c r="D212" s="316">
        <v>0</v>
      </c>
      <c r="E212" s="316">
        <v>0</v>
      </c>
      <c r="F212" s="316">
        <v>0</v>
      </c>
      <c r="G212" s="218"/>
      <c r="H212" s="218"/>
    </row>
    <row r="213" spans="1:8">
      <c r="A213" s="220"/>
      <c r="B213" s="222" t="s">
        <v>245</v>
      </c>
      <c r="C213" s="222"/>
      <c r="D213" s="316">
        <v>0</v>
      </c>
      <c r="E213" s="316">
        <v>0</v>
      </c>
      <c r="F213" s="316">
        <v>0</v>
      </c>
      <c r="G213" s="218"/>
      <c r="H213" s="218"/>
    </row>
    <row r="214" spans="1:8">
      <c r="A214" s="220"/>
      <c r="B214" s="222" t="s">
        <v>602</v>
      </c>
      <c r="C214" s="222"/>
      <c r="D214" s="316">
        <v>0</v>
      </c>
      <c r="E214" s="316">
        <v>0</v>
      </c>
      <c r="F214" s="316">
        <v>0</v>
      </c>
      <c r="G214" s="218"/>
      <c r="H214" s="218"/>
    </row>
    <row r="215" spans="1:8">
      <c r="A215" s="220"/>
      <c r="B215" s="222" t="s">
        <v>244</v>
      </c>
      <c r="C215" s="222"/>
      <c r="D215" s="316">
        <v>0</v>
      </c>
      <c r="E215" s="316">
        <v>0</v>
      </c>
      <c r="F215" s="316">
        <v>0</v>
      </c>
      <c r="G215" s="218"/>
      <c r="H215" s="218"/>
    </row>
    <row r="216" spans="1:8">
      <c r="A216" s="220"/>
      <c r="B216" s="222" t="s">
        <v>271</v>
      </c>
      <c r="C216" s="222"/>
      <c r="D216" s="316">
        <v>0</v>
      </c>
      <c r="E216" s="316">
        <v>0</v>
      </c>
      <c r="F216" s="316">
        <v>0</v>
      </c>
      <c r="G216" s="218"/>
      <c r="H216" s="218"/>
    </row>
    <row r="217" spans="1:8">
      <c r="A217" s="220"/>
      <c r="B217" s="222" t="s">
        <v>243</v>
      </c>
      <c r="C217" s="222"/>
      <c r="D217" s="316">
        <v>0</v>
      </c>
      <c r="E217" s="316">
        <v>0</v>
      </c>
      <c r="F217" s="316">
        <v>0</v>
      </c>
      <c r="G217" s="218"/>
      <c r="H217" s="218"/>
    </row>
    <row r="218" spans="1:8">
      <c r="A218" s="220"/>
      <c r="B218" s="222" t="s">
        <v>248</v>
      </c>
      <c r="C218" s="222"/>
      <c r="D218" s="316">
        <v>0</v>
      </c>
      <c r="E218" s="316">
        <v>0</v>
      </c>
      <c r="F218" s="316">
        <v>0</v>
      </c>
      <c r="G218" s="218"/>
      <c r="H218" s="218"/>
    </row>
    <row r="219" spans="1:8">
      <c r="A219" s="220"/>
      <c r="B219" s="222" t="s">
        <v>242</v>
      </c>
      <c r="C219" s="222"/>
      <c r="D219" s="316">
        <v>0</v>
      </c>
      <c r="E219" s="316">
        <v>0</v>
      </c>
      <c r="F219" s="316">
        <v>0</v>
      </c>
      <c r="G219" s="218"/>
      <c r="H219" s="218"/>
    </row>
    <row r="220" spans="1:8">
      <c r="A220" s="220"/>
      <c r="B220" s="222" t="s">
        <v>257</v>
      </c>
      <c r="C220" s="222"/>
      <c r="D220" s="316">
        <v>172431.74</v>
      </c>
      <c r="E220" s="316">
        <v>0</v>
      </c>
      <c r="F220" s="316">
        <v>172431.74</v>
      </c>
      <c r="G220" s="218"/>
      <c r="H220" s="218"/>
    </row>
    <row r="221" spans="1:8">
      <c r="A221" s="220"/>
      <c r="B221" s="222" t="s">
        <v>249</v>
      </c>
      <c r="C221" s="222"/>
      <c r="D221" s="316">
        <v>0</v>
      </c>
      <c r="E221" s="316">
        <v>0</v>
      </c>
      <c r="F221" s="316">
        <v>0</v>
      </c>
      <c r="G221" s="218"/>
      <c r="H221" s="218"/>
    </row>
    <row r="222" spans="1:8">
      <c r="A222" s="220"/>
      <c r="B222" s="222" t="s">
        <v>241</v>
      </c>
      <c r="C222" s="222"/>
      <c r="D222" s="316">
        <v>412757.38</v>
      </c>
      <c r="E222" s="316">
        <v>0</v>
      </c>
      <c r="F222" s="316">
        <v>412757.38</v>
      </c>
      <c r="G222" s="218"/>
      <c r="H222" s="218"/>
    </row>
    <row r="223" spans="1:8">
      <c r="A223" s="220"/>
      <c r="B223" s="222" t="s">
        <v>239</v>
      </c>
      <c r="C223" s="222"/>
      <c r="D223" s="316">
        <v>162862.92000000001</v>
      </c>
      <c r="E223" s="316">
        <v>0</v>
      </c>
      <c r="F223" s="316">
        <v>162862.92000000001</v>
      </c>
      <c r="G223" s="218"/>
      <c r="H223" s="218"/>
    </row>
    <row r="224" spans="1:8">
      <c r="A224" s="220"/>
      <c r="B224" s="222" t="s">
        <v>246</v>
      </c>
      <c r="C224" s="222"/>
      <c r="D224" s="316">
        <v>3208490.67</v>
      </c>
      <c r="E224" s="316">
        <v>0</v>
      </c>
      <c r="F224" s="316">
        <v>3208490.67</v>
      </c>
      <c r="G224" s="218"/>
      <c r="H224" s="218"/>
    </row>
    <row r="225" spans="1:8">
      <c r="A225" s="220"/>
      <c r="B225" s="222" t="s">
        <v>236</v>
      </c>
      <c r="C225" s="222"/>
      <c r="D225" s="316">
        <v>768161.74</v>
      </c>
      <c r="E225" s="316">
        <v>0</v>
      </c>
      <c r="F225" s="316">
        <v>768161.74</v>
      </c>
      <c r="G225" s="218"/>
      <c r="H225" s="218"/>
    </row>
    <row r="226" spans="1:8">
      <c r="A226" s="220"/>
      <c r="B226" s="222" t="s">
        <v>247</v>
      </c>
      <c r="C226" s="222"/>
      <c r="D226" s="316">
        <v>2142348.2000000002</v>
      </c>
      <c r="E226" s="316">
        <v>0</v>
      </c>
      <c r="F226" s="316">
        <v>2142348.2000000002</v>
      </c>
      <c r="G226" s="218"/>
      <c r="H226" s="218"/>
    </row>
    <row r="227" spans="1:8">
      <c r="A227" s="220" t="s">
        <v>273</v>
      </c>
      <c r="B227" s="222"/>
      <c r="C227" s="222"/>
      <c r="D227" s="316">
        <v>334.49</v>
      </c>
      <c r="E227" s="316">
        <v>1658.75</v>
      </c>
      <c r="F227" s="316">
        <v>1993.24</v>
      </c>
      <c r="G227" s="218"/>
      <c r="H227" s="218"/>
    </row>
    <row r="228" spans="1:8">
      <c r="A228" s="220"/>
      <c r="B228" s="222" t="s">
        <v>246</v>
      </c>
      <c r="C228" s="222"/>
      <c r="D228" s="316">
        <v>334.49</v>
      </c>
      <c r="E228" s="316">
        <v>1658.75</v>
      </c>
      <c r="F228" s="316">
        <v>1993.24</v>
      </c>
      <c r="G228" s="218"/>
      <c r="H228" s="218"/>
    </row>
    <row r="229" spans="1:8">
      <c r="A229" s="220" t="s">
        <v>274</v>
      </c>
      <c r="B229" s="222"/>
      <c r="C229" s="222"/>
      <c r="D229" s="316">
        <f>SUM(D230:D240)</f>
        <v>1311793.5300000003</v>
      </c>
      <c r="E229" s="316">
        <f>SUM(E230:E240)</f>
        <v>0</v>
      </c>
      <c r="F229" s="316">
        <f>SUM(F230:F240)</f>
        <v>1311793.5300000003</v>
      </c>
      <c r="G229" s="218"/>
      <c r="H229" s="218"/>
    </row>
    <row r="230" spans="1:8">
      <c r="A230" s="220"/>
      <c r="B230" s="222" t="s">
        <v>250</v>
      </c>
      <c r="C230" s="222"/>
      <c r="D230" s="316">
        <v>0</v>
      </c>
      <c r="E230" s="316">
        <v>0</v>
      </c>
      <c r="F230" s="316">
        <v>0</v>
      </c>
      <c r="G230" s="218"/>
      <c r="H230" s="218"/>
    </row>
    <row r="231" spans="1:8">
      <c r="A231" s="220"/>
      <c r="B231" s="222" t="s">
        <v>245</v>
      </c>
      <c r="C231" s="222"/>
      <c r="D231" s="316">
        <v>0</v>
      </c>
      <c r="E231" s="316">
        <v>0</v>
      </c>
      <c r="F231" s="316">
        <v>0</v>
      </c>
      <c r="G231" s="218"/>
      <c r="H231" s="218"/>
    </row>
    <row r="232" spans="1:8">
      <c r="A232" s="220"/>
      <c r="B232" s="222" t="s">
        <v>244</v>
      </c>
      <c r="C232" s="222"/>
      <c r="D232" s="316">
        <v>0</v>
      </c>
      <c r="E232" s="316">
        <v>0</v>
      </c>
      <c r="F232" s="316">
        <v>0</v>
      </c>
      <c r="G232" s="218"/>
      <c r="H232" s="218"/>
    </row>
    <row r="233" spans="1:8">
      <c r="A233" s="220"/>
      <c r="B233" s="222" t="s">
        <v>243</v>
      </c>
      <c r="C233" s="222"/>
      <c r="D233" s="316">
        <v>0</v>
      </c>
      <c r="E233" s="316">
        <v>0</v>
      </c>
      <c r="F233" s="316">
        <v>0</v>
      </c>
      <c r="G233" s="218"/>
      <c r="H233" s="218"/>
    </row>
    <row r="234" spans="1:8">
      <c r="A234" s="220"/>
      <c r="B234" s="222" t="s">
        <v>248</v>
      </c>
      <c r="C234" s="222"/>
      <c r="D234" s="316">
        <v>4734.33</v>
      </c>
      <c r="E234" s="316">
        <v>0</v>
      </c>
      <c r="F234" s="316">
        <v>4734.33</v>
      </c>
      <c r="G234" s="218"/>
      <c r="H234" s="218"/>
    </row>
    <row r="235" spans="1:8">
      <c r="A235" s="220"/>
      <c r="B235" s="222" t="s">
        <v>242</v>
      </c>
      <c r="C235" s="222"/>
      <c r="D235" s="316">
        <v>178303.93</v>
      </c>
      <c r="E235" s="316">
        <v>0</v>
      </c>
      <c r="F235" s="316">
        <v>178303.93</v>
      </c>
      <c r="G235" s="218"/>
      <c r="H235" s="218"/>
    </row>
    <row r="236" spans="1:8">
      <c r="A236" s="220"/>
      <c r="B236" s="222" t="s">
        <v>241</v>
      </c>
      <c r="C236" s="222"/>
      <c r="D236" s="316">
        <v>0</v>
      </c>
      <c r="E236" s="316">
        <v>0</v>
      </c>
      <c r="F236" s="316">
        <v>0</v>
      </c>
      <c r="G236" s="218"/>
      <c r="H236" s="218"/>
    </row>
    <row r="237" spans="1:8">
      <c r="A237" s="220"/>
      <c r="B237" s="222" t="s">
        <v>239</v>
      </c>
      <c r="C237" s="222"/>
      <c r="D237" s="316">
        <v>225777.59</v>
      </c>
      <c r="E237" s="316">
        <v>0</v>
      </c>
      <c r="F237" s="316">
        <v>225777.59</v>
      </c>
      <c r="G237" s="218"/>
      <c r="H237" s="218"/>
    </row>
    <row r="238" spans="1:8">
      <c r="A238" s="220"/>
      <c r="B238" s="222" t="s">
        <v>246</v>
      </c>
      <c r="C238" s="222"/>
      <c r="D238" s="316">
        <v>321932.62</v>
      </c>
      <c r="E238" s="316">
        <v>0</v>
      </c>
      <c r="F238" s="316">
        <v>321932.62</v>
      </c>
      <c r="G238" s="218"/>
      <c r="H238" s="218"/>
    </row>
    <row r="239" spans="1:8">
      <c r="A239" s="220"/>
      <c r="B239" s="222" t="s">
        <v>236</v>
      </c>
      <c r="C239" s="222"/>
      <c r="D239" s="316">
        <v>362346.92000000004</v>
      </c>
      <c r="E239" s="316">
        <v>0</v>
      </c>
      <c r="F239" s="316">
        <v>362346.92000000004</v>
      </c>
      <c r="G239" s="218"/>
      <c r="H239" s="218"/>
    </row>
    <row r="240" spans="1:8">
      <c r="A240" s="220"/>
      <c r="B240" s="222" t="s">
        <v>247</v>
      </c>
      <c r="C240" s="222"/>
      <c r="D240" s="316">
        <v>218698.14</v>
      </c>
      <c r="E240" s="316">
        <v>0</v>
      </c>
      <c r="F240" s="316">
        <v>218698.14</v>
      </c>
      <c r="G240" s="218"/>
      <c r="H240" s="218"/>
    </row>
    <row r="241" spans="1:8">
      <c r="A241" s="220" t="s">
        <v>275</v>
      </c>
      <c r="B241" s="222"/>
      <c r="C241" s="222"/>
      <c r="D241" s="316">
        <f>SUM(D242:D247)</f>
        <v>1208.8800000000001</v>
      </c>
      <c r="E241" s="316">
        <f>SUM(E242:E247)</f>
        <v>2548.92</v>
      </c>
      <c r="F241" s="316">
        <f>SUM(F242:F247)</f>
        <v>3757.8</v>
      </c>
      <c r="G241" s="218"/>
      <c r="H241" s="218"/>
    </row>
    <row r="242" spans="1:8">
      <c r="A242" s="220"/>
      <c r="B242" s="222" t="s">
        <v>245</v>
      </c>
      <c r="C242" s="222"/>
      <c r="D242" s="316">
        <v>0</v>
      </c>
      <c r="E242" s="316">
        <v>0</v>
      </c>
      <c r="F242" s="316">
        <v>0</v>
      </c>
      <c r="G242" s="218"/>
      <c r="H242" s="218"/>
    </row>
    <row r="243" spans="1:8">
      <c r="A243" s="220"/>
      <c r="B243" s="222" t="s">
        <v>244</v>
      </c>
      <c r="C243" s="222"/>
      <c r="D243" s="316">
        <v>0</v>
      </c>
      <c r="E243" s="316">
        <v>0</v>
      </c>
      <c r="F243" s="316">
        <v>0</v>
      </c>
      <c r="G243" s="218"/>
      <c r="H243" s="218"/>
    </row>
    <row r="244" spans="1:8">
      <c r="A244" s="220"/>
      <c r="B244" s="222" t="s">
        <v>243</v>
      </c>
      <c r="C244" s="222"/>
      <c r="D244" s="316">
        <v>0</v>
      </c>
      <c r="E244" s="316">
        <v>0</v>
      </c>
      <c r="F244" s="316">
        <v>0</v>
      </c>
      <c r="G244" s="218"/>
      <c r="H244" s="218"/>
    </row>
    <row r="245" spans="1:8">
      <c r="A245" s="220"/>
      <c r="B245" s="222" t="s">
        <v>241</v>
      </c>
      <c r="C245" s="222"/>
      <c r="D245" s="316">
        <v>0</v>
      </c>
      <c r="E245" s="316">
        <v>0</v>
      </c>
      <c r="F245" s="316">
        <v>0</v>
      </c>
      <c r="G245" s="218"/>
      <c r="H245" s="218"/>
    </row>
    <row r="246" spans="1:8">
      <c r="A246" s="220"/>
      <c r="B246" s="222" t="s">
        <v>236</v>
      </c>
      <c r="C246" s="222"/>
      <c r="D246" s="316">
        <v>95.94</v>
      </c>
      <c r="E246" s="316">
        <v>785.43</v>
      </c>
      <c r="F246" s="316">
        <v>881.36999999999989</v>
      </c>
      <c r="G246" s="218"/>
      <c r="H246" s="218"/>
    </row>
    <row r="247" spans="1:8">
      <c r="A247" s="220"/>
      <c r="B247" s="222" t="s">
        <v>247</v>
      </c>
      <c r="C247" s="222"/>
      <c r="D247" s="316">
        <v>1112.94</v>
      </c>
      <c r="E247" s="316">
        <v>1763.49</v>
      </c>
      <c r="F247" s="316">
        <v>2876.4300000000003</v>
      </c>
      <c r="G247" s="218"/>
      <c r="H247" s="218"/>
    </row>
    <row r="248" spans="1:8">
      <c r="A248" s="220" t="s">
        <v>276</v>
      </c>
      <c r="B248" s="222"/>
      <c r="C248" s="222"/>
      <c r="D248" s="316">
        <v>0</v>
      </c>
      <c r="E248" s="316">
        <v>0</v>
      </c>
      <c r="F248" s="316">
        <v>0</v>
      </c>
      <c r="G248" s="218"/>
      <c r="H248" s="218"/>
    </row>
    <row r="249" spans="1:8">
      <c r="A249" s="220"/>
      <c r="B249" s="222" t="s">
        <v>243</v>
      </c>
      <c r="C249" s="222"/>
      <c r="D249" s="316">
        <v>0</v>
      </c>
      <c r="E249" s="316">
        <v>0</v>
      </c>
      <c r="F249" s="316">
        <v>0</v>
      </c>
      <c r="G249" s="218"/>
      <c r="H249" s="218"/>
    </row>
    <row r="250" spans="1:8">
      <c r="A250" s="220" t="s">
        <v>277</v>
      </c>
      <c r="B250" s="222"/>
      <c r="C250" s="222"/>
      <c r="D250" s="316">
        <f>SUM(D251:D254)</f>
        <v>5527.2800000000007</v>
      </c>
      <c r="E250" s="316">
        <f>SUM(E251:E254)</f>
        <v>0</v>
      </c>
      <c r="F250" s="316">
        <f>SUM(F251:F254)</f>
        <v>5527.2800000000007</v>
      </c>
      <c r="G250" s="218"/>
      <c r="H250" s="218"/>
    </row>
    <row r="251" spans="1:8">
      <c r="A251" s="220"/>
      <c r="B251" s="222" t="s">
        <v>245</v>
      </c>
      <c r="C251" s="222"/>
      <c r="D251" s="316">
        <v>0</v>
      </c>
      <c r="E251" s="316">
        <v>0</v>
      </c>
      <c r="F251" s="316">
        <v>0</v>
      </c>
      <c r="G251" s="218"/>
      <c r="H251" s="218"/>
    </row>
    <row r="252" spans="1:8">
      <c r="A252" s="220"/>
      <c r="B252" s="222" t="s">
        <v>241</v>
      </c>
      <c r="C252" s="222"/>
      <c r="D252" s="316">
        <v>0</v>
      </c>
      <c r="E252" s="316">
        <v>0</v>
      </c>
      <c r="F252" s="316">
        <v>0</v>
      </c>
      <c r="G252" s="218"/>
      <c r="H252" s="218"/>
    </row>
    <row r="253" spans="1:8">
      <c r="A253" s="220"/>
      <c r="B253" s="222" t="s">
        <v>246</v>
      </c>
      <c r="C253" s="222"/>
      <c r="D253" s="316">
        <v>5445.0300000000007</v>
      </c>
      <c r="E253" s="316">
        <v>0</v>
      </c>
      <c r="F253" s="316">
        <v>5445.0300000000007</v>
      </c>
      <c r="G253" s="218"/>
      <c r="H253" s="218"/>
    </row>
    <row r="254" spans="1:8">
      <c r="A254" s="220"/>
      <c r="B254" s="222" t="s">
        <v>247</v>
      </c>
      <c r="C254" s="222"/>
      <c r="D254" s="316">
        <v>82.25</v>
      </c>
      <c r="E254" s="316">
        <v>0</v>
      </c>
      <c r="F254" s="316">
        <v>82.25</v>
      </c>
      <c r="G254" s="218"/>
      <c r="H254" s="218"/>
    </row>
    <row r="255" spans="1:8">
      <c r="A255" s="220" t="s">
        <v>278</v>
      </c>
      <c r="B255" s="222"/>
      <c r="C255" s="222"/>
      <c r="D255" s="316">
        <f>SUM(D256:D257)</f>
        <v>3233.12</v>
      </c>
      <c r="E255" s="316">
        <f>SUM(E256:E257)</f>
        <v>16220.42</v>
      </c>
      <c r="F255" s="316">
        <f>SUM(F256:F257)</f>
        <v>19453.54</v>
      </c>
      <c r="G255" s="218"/>
      <c r="H255" s="218"/>
    </row>
    <row r="256" spans="1:8">
      <c r="A256" s="220"/>
      <c r="B256" s="222" t="s">
        <v>239</v>
      </c>
      <c r="C256" s="222"/>
      <c r="D256" s="316">
        <v>3134.23</v>
      </c>
      <c r="E256" s="316">
        <v>16301.15</v>
      </c>
      <c r="F256" s="316">
        <v>19435.38</v>
      </c>
      <c r="G256" s="218"/>
      <c r="H256" s="218"/>
    </row>
    <row r="257" spans="1:8">
      <c r="A257" s="220"/>
      <c r="B257" s="222" t="s">
        <v>236</v>
      </c>
      <c r="C257" s="222"/>
      <c r="D257" s="316">
        <v>98.89</v>
      </c>
      <c r="E257" s="316">
        <v>-80.730000000000018</v>
      </c>
      <c r="F257" s="316">
        <v>18.159999999999982</v>
      </c>
      <c r="G257" s="218"/>
      <c r="H257" s="218"/>
    </row>
    <row r="258" spans="1:8">
      <c r="A258" s="220" t="s">
        <v>608</v>
      </c>
      <c r="B258" s="222"/>
      <c r="C258" s="222"/>
      <c r="D258" s="316">
        <v>309.57</v>
      </c>
      <c r="E258" s="316">
        <v>0</v>
      </c>
      <c r="F258" s="316">
        <v>309.57</v>
      </c>
      <c r="G258" s="218"/>
      <c r="H258" s="218"/>
    </row>
    <row r="259" spans="1:8">
      <c r="A259" s="220"/>
      <c r="B259" s="222" t="s">
        <v>247</v>
      </c>
      <c r="C259" s="222"/>
      <c r="D259" s="316">
        <v>309.57</v>
      </c>
      <c r="E259" s="316">
        <v>0</v>
      </c>
      <c r="F259" s="316">
        <v>309.57</v>
      </c>
      <c r="G259" s="218"/>
      <c r="H259" s="218"/>
    </row>
    <row r="260" spans="1:8">
      <c r="A260" s="220" t="s">
        <v>279</v>
      </c>
      <c r="B260" s="222"/>
      <c r="C260" s="222"/>
      <c r="D260" s="316">
        <f>SUM(D261:D267)</f>
        <v>2095.1799999999998</v>
      </c>
      <c r="E260" s="316">
        <f>SUM(E261:E267)</f>
        <v>1593.55</v>
      </c>
      <c r="F260" s="316">
        <f>SUM(F261:F267)</f>
        <v>3688.73</v>
      </c>
      <c r="G260" s="218"/>
      <c r="H260" s="218"/>
    </row>
    <row r="261" spans="1:8">
      <c r="A261" s="220"/>
      <c r="B261" s="222" t="s">
        <v>250</v>
      </c>
      <c r="C261" s="222"/>
      <c r="D261" s="316">
        <v>0</v>
      </c>
      <c r="E261" s="316">
        <v>0</v>
      </c>
      <c r="F261" s="316">
        <v>0</v>
      </c>
      <c r="G261" s="218"/>
      <c r="H261" s="218"/>
    </row>
    <row r="262" spans="1:8">
      <c r="A262" s="220"/>
      <c r="B262" s="222" t="s">
        <v>602</v>
      </c>
      <c r="C262" s="222"/>
      <c r="D262" s="316">
        <v>0</v>
      </c>
      <c r="E262" s="316">
        <v>0</v>
      </c>
      <c r="F262" s="316">
        <v>0</v>
      </c>
      <c r="G262" s="218"/>
      <c r="H262" s="218"/>
    </row>
    <row r="263" spans="1:8">
      <c r="A263" s="220"/>
      <c r="B263" s="222" t="s">
        <v>271</v>
      </c>
      <c r="C263" s="222"/>
      <c r="D263" s="316">
        <v>0</v>
      </c>
      <c r="E263" s="316">
        <v>0</v>
      </c>
      <c r="F263" s="316">
        <v>0</v>
      </c>
      <c r="G263" s="218"/>
      <c r="H263" s="218"/>
    </row>
    <row r="264" spans="1:8">
      <c r="A264" s="220"/>
      <c r="B264" s="222" t="s">
        <v>249</v>
      </c>
      <c r="C264" s="222"/>
      <c r="D264" s="316">
        <v>0</v>
      </c>
      <c r="E264" s="316">
        <v>0</v>
      </c>
      <c r="F264" s="316">
        <v>0</v>
      </c>
      <c r="G264" s="218"/>
      <c r="H264" s="218"/>
    </row>
    <row r="265" spans="1:8">
      <c r="A265" s="220"/>
      <c r="B265" s="222" t="s">
        <v>248</v>
      </c>
      <c r="C265" s="222"/>
      <c r="D265" s="316">
        <v>1781.73</v>
      </c>
      <c r="E265" s="316">
        <v>0</v>
      </c>
      <c r="F265" s="316">
        <v>1781.73</v>
      </c>
      <c r="G265" s="218"/>
      <c r="H265" s="218"/>
    </row>
    <row r="266" spans="1:8">
      <c r="A266" s="220"/>
      <c r="B266" s="222" t="s">
        <v>257</v>
      </c>
      <c r="C266" s="222"/>
      <c r="D266" s="316">
        <v>0</v>
      </c>
      <c r="E266" s="316">
        <v>0</v>
      </c>
      <c r="F266" s="316">
        <v>0</v>
      </c>
      <c r="G266" s="218"/>
      <c r="H266" s="218"/>
    </row>
    <row r="267" spans="1:8">
      <c r="A267" s="220"/>
      <c r="B267" s="222" t="s">
        <v>239</v>
      </c>
      <c r="C267" s="222"/>
      <c r="D267" s="316">
        <v>313.45</v>
      </c>
      <c r="E267" s="316">
        <v>1593.55</v>
      </c>
      <c r="F267" s="316">
        <v>1907</v>
      </c>
      <c r="G267" s="218"/>
      <c r="H267" s="218"/>
    </row>
    <row r="268" spans="1:8">
      <c r="A268" s="224" t="s">
        <v>280</v>
      </c>
      <c r="B268" s="222"/>
      <c r="C268" s="222"/>
      <c r="D268" s="326">
        <f>SUM(D63:D267)/2</f>
        <v>10864016.950000003</v>
      </c>
      <c r="E268" s="326">
        <f>SUM(E63:E267)/2</f>
        <v>2488028.8299999991</v>
      </c>
      <c r="F268" s="326">
        <f>SUM(F63:F267)/2</f>
        <v>13352045.780000001</v>
      </c>
      <c r="G268" s="218"/>
      <c r="H268" s="218"/>
    </row>
    <row r="269" spans="1:8">
      <c r="A269" s="222"/>
      <c r="B269" s="222"/>
      <c r="C269" s="222"/>
      <c r="D269" s="327"/>
      <c r="E269" s="327"/>
      <c r="F269" s="327"/>
    </row>
    <row r="270" spans="1:8">
      <c r="A270" s="222"/>
      <c r="B270" s="222"/>
      <c r="C270" s="222"/>
      <c r="D270" s="327"/>
      <c r="E270" s="327"/>
      <c r="F270" s="327"/>
    </row>
    <row r="271" spans="1:8">
      <c r="A271" s="223"/>
      <c r="B271" s="223"/>
      <c r="C271" s="223"/>
      <c r="D271" s="327"/>
      <c r="E271" s="327"/>
      <c r="F271" s="327"/>
    </row>
  </sheetData>
  <mergeCells count="6">
    <mergeCell ref="D8:F8"/>
    <mergeCell ref="A2:F2"/>
    <mergeCell ref="A3:F3"/>
    <mergeCell ref="A4:F4"/>
    <mergeCell ref="A5:F5"/>
    <mergeCell ref="A6:F6"/>
  </mergeCells>
  <pageMargins left="0.7" right="0.7" top="0.75" bottom="0.75" header="0.3" footer="0.3"/>
  <pageSetup scale="66" fitToHeight="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J1"/>
    </sheetView>
  </sheetViews>
  <sheetFormatPr defaultColWidth="9.109375" defaultRowHeight="13.2"/>
  <cols>
    <col min="1" max="1" width="11.109375" style="272" customWidth="1"/>
    <col min="2" max="2" width="17.109375" style="272" customWidth="1"/>
    <col min="3" max="3" width="8.5546875" style="272" customWidth="1"/>
    <col min="4" max="4" width="2.6640625" style="272" customWidth="1"/>
    <col min="5" max="10" width="8.6640625" style="272" customWidth="1"/>
    <col min="11" max="11" width="9.109375" style="272"/>
    <col min="12" max="12" width="11.44140625" style="272" customWidth="1"/>
    <col min="13" max="13" width="15.109375" style="272" customWidth="1"/>
    <col min="14" max="14" width="14.44140625" style="272" customWidth="1"/>
    <col min="15" max="15" width="11.6640625" style="272" customWidth="1"/>
    <col min="16" max="16" width="11.5546875" style="272" customWidth="1"/>
    <col min="17" max="16384" width="9.109375" style="272"/>
  </cols>
  <sheetData>
    <row r="1" spans="1:10" s="269" customFormat="1" ht="13.8">
      <c r="A1" s="513" t="s">
        <v>0</v>
      </c>
      <c r="B1" s="513"/>
      <c r="C1" s="513"/>
      <c r="D1" s="513"/>
      <c r="E1" s="513"/>
      <c r="F1" s="513"/>
      <c r="G1" s="513"/>
      <c r="H1" s="513"/>
      <c r="I1" s="513"/>
      <c r="J1" s="513"/>
    </row>
    <row r="2" spans="1:10" s="269" customFormat="1" ht="13.8">
      <c r="A2" s="513" t="s">
        <v>281</v>
      </c>
      <c r="B2" s="513"/>
      <c r="C2" s="513"/>
      <c r="D2" s="513"/>
      <c r="E2" s="513"/>
      <c r="F2" s="513"/>
      <c r="G2" s="513"/>
      <c r="H2" s="513"/>
      <c r="I2" s="513"/>
      <c r="J2" s="513"/>
    </row>
    <row r="3" spans="1:10" s="269" customFormat="1" ht="13.8">
      <c r="A3" s="519" t="s">
        <v>705</v>
      </c>
      <c r="B3" s="519"/>
      <c r="C3" s="519"/>
      <c r="D3" s="519"/>
      <c r="E3" s="519"/>
      <c r="F3" s="519"/>
      <c r="G3" s="519"/>
      <c r="H3" s="519"/>
      <c r="I3" s="519"/>
      <c r="J3" s="519"/>
    </row>
    <row r="4" spans="1:10" s="269" customFormat="1" ht="13.8">
      <c r="A4" s="512" t="s">
        <v>614</v>
      </c>
      <c r="B4" s="512"/>
      <c r="C4" s="512"/>
      <c r="D4" s="512"/>
      <c r="E4" s="512"/>
      <c r="F4" s="512"/>
      <c r="G4" s="512"/>
      <c r="H4" s="512"/>
      <c r="I4" s="512"/>
      <c r="J4" s="512"/>
    </row>
    <row r="5" spans="1:10" s="269" customFormat="1" ht="13.8">
      <c r="A5" s="270"/>
      <c r="B5" s="270"/>
      <c r="C5" s="270"/>
      <c r="D5" s="271"/>
      <c r="E5" s="271"/>
      <c r="F5" s="245"/>
      <c r="G5" s="271"/>
      <c r="H5" s="271"/>
    </row>
    <row r="7" spans="1:10">
      <c r="C7" s="273" t="s">
        <v>43</v>
      </c>
      <c r="D7" s="274"/>
      <c r="E7" s="273" t="s">
        <v>44</v>
      </c>
      <c r="F7" s="273" t="s">
        <v>45</v>
      </c>
      <c r="G7" s="273" t="s">
        <v>46</v>
      </c>
      <c r="H7" s="273" t="s">
        <v>47</v>
      </c>
      <c r="I7" s="273" t="s">
        <v>48</v>
      </c>
      <c r="J7" s="273" t="s">
        <v>56</v>
      </c>
    </row>
    <row r="8" spans="1:10">
      <c r="B8" s="275" t="s">
        <v>714</v>
      </c>
      <c r="C8" s="276">
        <v>1</v>
      </c>
      <c r="D8" s="277"/>
      <c r="E8" s="276">
        <v>0.22399814780642607</v>
      </c>
      <c r="F8" s="276">
        <v>0.34104682001762004</v>
      </c>
      <c r="G8" s="276">
        <v>0.17102448296271053</v>
      </c>
      <c r="H8" s="276">
        <v>5.7247541013938093E-2</v>
      </c>
      <c r="I8" s="276">
        <v>0.20668300819930527</v>
      </c>
      <c r="J8" s="276">
        <v>1</v>
      </c>
    </row>
    <row r="9" spans="1:10">
      <c r="B9" s="278" t="s">
        <v>208</v>
      </c>
      <c r="C9" s="276"/>
      <c r="D9" s="277"/>
      <c r="E9" s="276"/>
      <c r="F9" s="276"/>
      <c r="G9" s="276"/>
      <c r="H9" s="276"/>
      <c r="I9" s="276"/>
      <c r="J9" s="276"/>
    </row>
    <row r="10" spans="1:10">
      <c r="B10" s="279" t="s">
        <v>669</v>
      </c>
      <c r="C10" s="280">
        <v>10565.58</v>
      </c>
      <c r="D10" s="281"/>
      <c r="E10" s="282"/>
      <c r="F10" s="282"/>
      <c r="G10" s="282"/>
      <c r="H10" s="282"/>
      <c r="I10" s="282"/>
      <c r="J10" s="282">
        <v>10565.58</v>
      </c>
    </row>
    <row r="11" spans="1:10">
      <c r="B11" s="283" t="s">
        <v>670</v>
      </c>
      <c r="C11" s="284"/>
      <c r="D11" s="285"/>
      <c r="E11" s="286">
        <v>5707.1368088860263</v>
      </c>
      <c r="F11" s="286">
        <v>8689.3614038189316</v>
      </c>
      <c r="G11" s="286">
        <v>4357.4472891654195</v>
      </c>
      <c r="H11" s="286">
        <v>1458.5814737236215</v>
      </c>
      <c r="I11" s="286">
        <v>5265.9730244059983</v>
      </c>
      <c r="J11" s="284">
        <v>25478.499999999996</v>
      </c>
    </row>
    <row r="12" spans="1:10">
      <c r="B12" s="272" t="s">
        <v>56</v>
      </c>
      <c r="C12" s="282">
        <v>10565.58</v>
      </c>
      <c r="D12" s="281"/>
      <c r="E12" s="282">
        <v>5707.1368088860263</v>
      </c>
      <c r="F12" s="282">
        <v>8689.3614038189316</v>
      </c>
      <c r="G12" s="282">
        <v>4357.4472891654195</v>
      </c>
      <c r="H12" s="282">
        <v>1458.5814737236215</v>
      </c>
      <c r="I12" s="282">
        <v>5265.9730244059983</v>
      </c>
      <c r="J12" s="282">
        <v>36044.079999999994</v>
      </c>
    </row>
    <row r="31" spans="2:2">
      <c r="B31" s="272" t="s">
        <v>646</v>
      </c>
    </row>
  </sheetData>
  <mergeCells count="4">
    <mergeCell ref="A1:J1"/>
    <mergeCell ref="A2:J2"/>
    <mergeCell ref="A3:J3"/>
    <mergeCell ref="A4:J4"/>
  </mergeCells>
  <pageMargins left="0.45" right="0.45" top="0.75" bottom="0.75" header="0.3" footer="0.3"/>
  <pageSetup orientation="portrait" r:id="rId1"/>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heetViews>
  <sheetFormatPr defaultRowHeight="13.2"/>
  <cols>
    <col min="1" max="1" width="8.88671875" style="461"/>
    <col min="2" max="2" width="27.77734375" style="461" customWidth="1"/>
    <col min="3" max="4" width="12.6640625" style="461" customWidth="1"/>
    <col min="5" max="5" width="1.5546875" style="461" customWidth="1"/>
    <col min="6" max="7" width="12.6640625" style="461" customWidth="1"/>
    <col min="8" max="8" width="12.44140625" style="461" customWidth="1"/>
    <col min="9" max="9" width="10.44140625" style="461" customWidth="1"/>
    <col min="10" max="16384" width="8.88671875" style="461"/>
  </cols>
  <sheetData>
    <row r="2" spans="1:7">
      <c r="A2" s="476" t="s">
        <v>58</v>
      </c>
      <c r="B2" s="476"/>
      <c r="C2" s="476"/>
      <c r="D2" s="476"/>
      <c r="E2" s="476"/>
      <c r="F2" s="476"/>
      <c r="G2" s="476"/>
    </row>
    <row r="3" spans="1:7">
      <c r="A3" s="476" t="s">
        <v>758</v>
      </c>
      <c r="B3" s="476"/>
      <c r="C3" s="476"/>
      <c r="D3" s="476"/>
      <c r="E3" s="476"/>
      <c r="F3" s="476"/>
      <c r="G3" s="476"/>
    </row>
    <row r="4" spans="1:7">
      <c r="A4" s="477" t="s">
        <v>614</v>
      </c>
      <c r="B4" s="477"/>
      <c r="C4" s="477"/>
      <c r="D4" s="477"/>
      <c r="E4" s="477"/>
      <c r="F4" s="477"/>
      <c r="G4" s="477"/>
    </row>
    <row r="6" spans="1:7">
      <c r="A6" s="278" t="s">
        <v>90</v>
      </c>
      <c r="B6" s="278" t="s">
        <v>689</v>
      </c>
      <c r="C6" s="462" t="s">
        <v>43</v>
      </c>
      <c r="D6" s="462" t="s">
        <v>45</v>
      </c>
      <c r="E6" s="462"/>
      <c r="F6" s="462" t="s">
        <v>751</v>
      </c>
      <c r="G6" s="462" t="s">
        <v>752</v>
      </c>
    </row>
    <row r="7" spans="1:7" ht="15">
      <c r="A7" s="461" t="s">
        <v>654</v>
      </c>
      <c r="B7" s="461" t="s">
        <v>745</v>
      </c>
      <c r="C7" s="465">
        <v>268595.29000000004</v>
      </c>
      <c r="D7" s="465">
        <v>38638.89</v>
      </c>
      <c r="E7" s="465"/>
      <c r="F7" s="465">
        <v>27117.74</v>
      </c>
      <c r="G7" s="463">
        <v>27117.74</v>
      </c>
    </row>
    <row r="8" spans="1:7">
      <c r="B8" s="461" t="s">
        <v>755</v>
      </c>
      <c r="C8" s="466">
        <f>+C7</f>
        <v>268595.29000000004</v>
      </c>
      <c r="D8" s="466">
        <f t="shared" ref="D8:G8" si="0">+D7</f>
        <v>38638.89</v>
      </c>
      <c r="E8" s="466"/>
      <c r="F8" s="466">
        <f t="shared" si="0"/>
        <v>27117.74</v>
      </c>
      <c r="G8" s="466">
        <f t="shared" si="0"/>
        <v>27117.74</v>
      </c>
    </row>
    <row r="9" spans="1:7">
      <c r="C9" s="466"/>
      <c r="D9" s="466"/>
      <c r="E9" s="466"/>
      <c r="F9" s="466"/>
      <c r="G9" s="464"/>
    </row>
    <row r="10" spans="1:7">
      <c r="A10" s="461" t="s">
        <v>661</v>
      </c>
      <c r="B10" s="461" t="s">
        <v>746</v>
      </c>
      <c r="C10" s="466">
        <v>1469682.3099999998</v>
      </c>
      <c r="D10" s="466">
        <v>1651215.69</v>
      </c>
      <c r="E10" s="466"/>
      <c r="F10" s="466">
        <v>1265045.77</v>
      </c>
      <c r="G10" s="464">
        <v>1150820.78</v>
      </c>
    </row>
    <row r="11" spans="1:7">
      <c r="A11" s="461" t="s">
        <v>662</v>
      </c>
      <c r="B11" s="461" t="s">
        <v>747</v>
      </c>
      <c r="C11" s="466">
        <v>56739.229999999981</v>
      </c>
      <c r="D11" s="466">
        <v>36129.080000000024</v>
      </c>
      <c r="E11" s="466"/>
      <c r="F11" s="466">
        <v>27630.110000000022</v>
      </c>
      <c r="G11" s="464">
        <v>25994.670000000002</v>
      </c>
    </row>
    <row r="12" spans="1:7">
      <c r="A12" s="461" t="s">
        <v>154</v>
      </c>
      <c r="B12" s="461" t="s">
        <v>748</v>
      </c>
      <c r="C12" s="466">
        <v>3598679.1200000006</v>
      </c>
      <c r="D12" s="466">
        <v>2727919.1800000006</v>
      </c>
      <c r="E12" s="466"/>
      <c r="F12" s="466">
        <v>2343029.7900000005</v>
      </c>
      <c r="G12" s="464">
        <v>2216987.67</v>
      </c>
    </row>
    <row r="13" spans="1:7">
      <c r="A13" s="461" t="s">
        <v>663</v>
      </c>
      <c r="B13" s="461" t="s">
        <v>749</v>
      </c>
      <c r="C13" s="467">
        <v>8937752.4339756649</v>
      </c>
      <c r="D13" s="467">
        <v>4413237.248338229</v>
      </c>
      <c r="E13" s="467"/>
      <c r="F13" s="467">
        <v>3116360.86</v>
      </c>
      <c r="G13" s="467">
        <v>2903020.58</v>
      </c>
    </row>
    <row r="14" spans="1:7" ht="15">
      <c r="A14" s="461" t="s">
        <v>626</v>
      </c>
      <c r="B14" s="461" t="s">
        <v>750</v>
      </c>
      <c r="C14" s="465">
        <v>1.51</v>
      </c>
      <c r="D14" s="465">
        <v>1.03</v>
      </c>
      <c r="E14" s="465"/>
      <c r="F14" s="465">
        <v>0.92</v>
      </c>
      <c r="G14" s="463">
        <v>0.87</v>
      </c>
    </row>
    <row r="15" spans="1:7">
      <c r="B15" s="461" t="s">
        <v>403</v>
      </c>
      <c r="C15" s="466">
        <f>SUM(C10:C14)</f>
        <v>14062854.603975665</v>
      </c>
      <c r="D15" s="466">
        <f t="shared" ref="D15:G15" si="1">SUM(D10:D14)</f>
        <v>8828502.2283382285</v>
      </c>
      <c r="E15" s="466"/>
      <c r="F15" s="466">
        <f t="shared" si="1"/>
        <v>6752067.4500000011</v>
      </c>
      <c r="G15" s="466">
        <f t="shared" si="1"/>
        <v>6296824.5700000003</v>
      </c>
    </row>
    <row r="16" spans="1:7">
      <c r="C16" s="466"/>
      <c r="D16" s="466"/>
      <c r="E16" s="466"/>
      <c r="F16" s="466"/>
      <c r="G16" s="464"/>
    </row>
    <row r="17" spans="1:7" ht="15">
      <c r="A17" s="461" t="s">
        <v>649</v>
      </c>
      <c r="B17" s="461" t="s">
        <v>437</v>
      </c>
      <c r="C17" s="465">
        <v>728528.67</v>
      </c>
      <c r="D17" s="465">
        <v>429309.01999999996</v>
      </c>
      <c r="F17" s="465">
        <v>402055.66000000003</v>
      </c>
      <c r="G17" s="463">
        <v>374730.14</v>
      </c>
    </row>
    <row r="18" spans="1:7">
      <c r="B18" s="461" t="s">
        <v>753</v>
      </c>
      <c r="C18" s="466">
        <f>SUM(C17)</f>
        <v>728528.67</v>
      </c>
      <c r="D18" s="466">
        <f>SUM(D17)</f>
        <v>429309.01999999996</v>
      </c>
      <c r="F18" s="466">
        <f t="shared" ref="F18:G18" si="2">SUM(F17)</f>
        <v>402055.66000000003</v>
      </c>
      <c r="G18" s="466">
        <f t="shared" si="2"/>
        <v>374730.14</v>
      </c>
    </row>
    <row r="19" spans="1:7">
      <c r="C19" s="466"/>
      <c r="D19" s="466"/>
      <c r="F19" s="466"/>
      <c r="G19" s="464"/>
    </row>
    <row r="20" spans="1:7" ht="13.8" thickBot="1">
      <c r="B20" s="461" t="s">
        <v>754</v>
      </c>
      <c r="C20" s="468">
        <f>+C8+C15+C17</f>
        <v>15059978.563975664</v>
      </c>
      <c r="D20" s="468">
        <f>+D8+D15+D17</f>
        <v>9296450.1383382287</v>
      </c>
      <c r="F20" s="468">
        <f>+F8+F15+F17</f>
        <v>7181240.8500000015</v>
      </c>
      <c r="G20" s="468">
        <f>+G8+G15+G17</f>
        <v>6698672.4500000002</v>
      </c>
    </row>
    <row r="21" spans="1:7" ht="13.8" thickTop="1"/>
    <row r="23" spans="1:7">
      <c r="A23" s="461" t="s">
        <v>712</v>
      </c>
    </row>
    <row r="24" spans="1:7">
      <c r="A24" s="469" t="s">
        <v>14</v>
      </c>
      <c r="B24" s="461" t="s">
        <v>759</v>
      </c>
    </row>
  </sheetData>
  <mergeCells count="3">
    <mergeCell ref="A2:G2"/>
    <mergeCell ref="A3:G3"/>
    <mergeCell ref="A4:G4"/>
  </mergeCells>
  <printOptions horizontalCentered="1"/>
  <pageMargins left="0.7" right="0.7" top="0.75" bottom="0.75" header="0.3" footer="0.3"/>
  <pageSetup orientation="portrait" r:id="rId1"/>
  <headerFooter>
    <oddFooter xml:space="preserve">&amp;RWP 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43"/>
  <sheetViews>
    <sheetView zoomScaleNormal="100" workbookViewId="0">
      <selection sqref="A1:XFD5"/>
    </sheetView>
  </sheetViews>
  <sheetFormatPr defaultColWidth="9.109375" defaultRowHeight="13.2"/>
  <cols>
    <col min="1" max="1" width="13.88671875" style="31" customWidth="1"/>
    <col min="2" max="2" width="17.44140625" style="31" bestFit="1" customWidth="1"/>
    <col min="3" max="3" width="15.88671875" style="31" customWidth="1"/>
    <col min="4" max="4" width="28.109375" style="31" customWidth="1"/>
    <col min="5" max="5" width="14" style="31" bestFit="1" customWidth="1"/>
    <col min="6" max="16384" width="9.109375" style="31"/>
  </cols>
  <sheetData>
    <row r="1" spans="1:5">
      <c r="E1" s="134"/>
    </row>
    <row r="3" spans="1:5">
      <c r="A3" s="476" t="s">
        <v>0</v>
      </c>
      <c r="B3" s="476"/>
      <c r="C3" s="476"/>
      <c r="D3" s="476"/>
      <c r="E3" s="476"/>
    </row>
    <row r="4" spans="1:5">
      <c r="A4" s="476" t="s">
        <v>93</v>
      </c>
      <c r="B4" s="476"/>
      <c r="C4" s="476"/>
      <c r="D4" s="476"/>
      <c r="E4" s="476"/>
    </row>
    <row r="5" spans="1:5">
      <c r="A5" s="477" t="s">
        <v>614</v>
      </c>
      <c r="B5" s="476"/>
      <c r="C5" s="476"/>
      <c r="D5" s="476"/>
      <c r="E5" s="476"/>
    </row>
    <row r="6" spans="1:5">
      <c r="A6" s="38"/>
      <c r="B6" s="38"/>
      <c r="C6" s="38"/>
      <c r="D6" s="38"/>
      <c r="E6" s="38"/>
    </row>
    <row r="7" spans="1:5" s="38" customFormat="1"/>
    <row r="8" spans="1:5" s="38" customFormat="1">
      <c r="A8" s="39" t="s">
        <v>92</v>
      </c>
      <c r="B8" s="39" t="s">
        <v>91</v>
      </c>
      <c r="C8" s="39" t="s">
        <v>90</v>
      </c>
      <c r="D8" s="39" t="s">
        <v>89</v>
      </c>
      <c r="E8" s="215" t="s">
        <v>613</v>
      </c>
    </row>
    <row r="9" spans="1:5">
      <c r="A9" s="31" t="s">
        <v>88</v>
      </c>
      <c r="B9" s="31" t="s">
        <v>87</v>
      </c>
      <c r="C9" s="31" t="s">
        <v>86</v>
      </c>
      <c r="D9" s="31" t="s">
        <v>81</v>
      </c>
      <c r="E9" s="40">
        <v>29014266.050000001</v>
      </c>
    </row>
    <row r="10" spans="1:5">
      <c r="C10" s="31" t="s">
        <v>85</v>
      </c>
      <c r="D10" s="31" t="s">
        <v>79</v>
      </c>
      <c r="E10" s="40">
        <v>5762955.8300000001</v>
      </c>
    </row>
    <row r="11" spans="1:5">
      <c r="C11" s="31" t="s">
        <v>84</v>
      </c>
      <c r="D11" s="31" t="s">
        <v>81</v>
      </c>
      <c r="E11" s="40">
        <v>-55083518.420000002</v>
      </c>
    </row>
    <row r="12" spans="1:5">
      <c r="C12" s="31" t="s">
        <v>83</v>
      </c>
      <c r="D12" s="31" t="s">
        <v>79</v>
      </c>
      <c r="E12" s="40">
        <v>-10943061.02</v>
      </c>
    </row>
    <row r="13" spans="1:5">
      <c r="C13" s="31" t="s">
        <v>82</v>
      </c>
      <c r="D13" s="31" t="s">
        <v>81</v>
      </c>
      <c r="E13" s="40">
        <v>-35552772.520000003</v>
      </c>
    </row>
    <row r="14" spans="1:5">
      <c r="C14" s="31" t="s">
        <v>80</v>
      </c>
      <c r="D14" s="31" t="s">
        <v>79</v>
      </c>
      <c r="E14" s="40">
        <v>-7061665.54</v>
      </c>
    </row>
    <row r="15" spans="1:5">
      <c r="B15" s="37" t="s">
        <v>78</v>
      </c>
      <c r="C15" s="37"/>
      <c r="D15" s="37"/>
      <c r="E15" s="41">
        <f>SUM(E9:E14)</f>
        <v>-73863795.620000005</v>
      </c>
    </row>
    <row r="16" spans="1:5">
      <c r="B16" s="31" t="s">
        <v>77</v>
      </c>
      <c r="C16" s="31" t="s">
        <v>76</v>
      </c>
      <c r="D16" s="31" t="s">
        <v>75</v>
      </c>
      <c r="E16" s="40">
        <v>108641017.5</v>
      </c>
    </row>
    <row r="17" spans="2:5">
      <c r="C17" s="31" t="s">
        <v>74</v>
      </c>
      <c r="D17" s="31" t="s">
        <v>73</v>
      </c>
      <c r="E17" s="40">
        <v>-34777221.880000003</v>
      </c>
    </row>
    <row r="18" spans="2:5">
      <c r="B18" s="37" t="s">
        <v>72</v>
      </c>
      <c r="C18" s="37"/>
      <c r="D18" s="37"/>
      <c r="E18" s="41">
        <f>SUM(E16:E17)</f>
        <v>73863795.620000005</v>
      </c>
    </row>
    <row r="19" spans="2:5" s="32" customFormat="1">
      <c r="E19" s="33"/>
    </row>
    <row r="20" spans="2:5" s="32" customFormat="1">
      <c r="D20" s="36" t="s">
        <v>71</v>
      </c>
      <c r="E20" s="86">
        <f>E9+E10</f>
        <v>34777221.880000003</v>
      </c>
    </row>
    <row r="21" spans="2:5" s="32" customFormat="1">
      <c r="D21" s="36" t="s">
        <v>70</v>
      </c>
      <c r="E21" s="86">
        <f>E11+E12</f>
        <v>-66026579.439999998</v>
      </c>
    </row>
    <row r="22" spans="2:5" s="32" customFormat="1">
      <c r="D22" s="36" t="s">
        <v>69</v>
      </c>
      <c r="E22" s="86">
        <f>E13+E14</f>
        <v>-42614438.060000002</v>
      </c>
    </row>
    <row r="23" spans="2:5" s="32" customFormat="1">
      <c r="B23" s="35"/>
      <c r="C23" s="35"/>
      <c r="D23" s="35"/>
      <c r="E23" s="34"/>
    </row>
    <row r="24" spans="2:5" s="32" customFormat="1">
      <c r="E24" s="33"/>
    </row>
    <row r="25" spans="2:5" s="32" customFormat="1">
      <c r="E25" s="33"/>
    </row>
    <row r="26" spans="2:5" s="32" customFormat="1">
      <c r="B26" s="35"/>
      <c r="C26" s="35"/>
      <c r="D26" s="35"/>
      <c r="E26" s="34"/>
    </row>
    <row r="27" spans="2:5" s="32" customFormat="1">
      <c r="E27" s="33"/>
    </row>
    <row r="28" spans="2:5" s="32" customFormat="1">
      <c r="E28" s="33"/>
    </row>
    <row r="29" spans="2:5" s="32" customFormat="1" ht="14.4">
      <c r="B29" s="119"/>
      <c r="E29" s="33"/>
    </row>
    <row r="30" spans="2:5" s="32" customFormat="1">
      <c r="E30" s="33"/>
    </row>
    <row r="31" spans="2:5" s="32" customFormat="1">
      <c r="B31" s="32" t="s">
        <v>646</v>
      </c>
      <c r="E31" s="33"/>
    </row>
    <row r="32" spans="2:5" s="32" customFormat="1">
      <c r="E32" s="33"/>
    </row>
    <row r="33" spans="2:5" s="32" customFormat="1">
      <c r="E33" s="33"/>
    </row>
    <row r="34" spans="2:5" s="32" customFormat="1">
      <c r="B34" s="35"/>
      <c r="C34" s="35"/>
      <c r="D34" s="35"/>
      <c r="E34" s="34"/>
    </row>
    <row r="35" spans="2:5" s="32" customFormat="1">
      <c r="E35" s="33"/>
    </row>
    <row r="36" spans="2:5" s="32" customFormat="1">
      <c r="E36" s="33"/>
    </row>
    <row r="37" spans="2:5" s="32" customFormat="1">
      <c r="B37" s="35"/>
      <c r="C37" s="35"/>
      <c r="D37" s="35"/>
      <c r="E37" s="34"/>
    </row>
    <row r="38" spans="2:5" s="32" customFormat="1">
      <c r="E38" s="33"/>
    </row>
    <row r="39" spans="2:5" s="32" customFormat="1">
      <c r="E39" s="33"/>
    </row>
    <row r="40" spans="2:5" s="32" customFormat="1">
      <c r="E40" s="33"/>
    </row>
    <row r="41" spans="2:5" s="32" customFormat="1">
      <c r="E41" s="33"/>
    </row>
    <row r="42" spans="2:5" s="32" customFormat="1">
      <c r="E42" s="33"/>
    </row>
    <row r="43" spans="2:5" s="32" customFormat="1">
      <c r="E43" s="33"/>
    </row>
    <row r="44" spans="2:5" s="32" customFormat="1">
      <c r="E44" s="33"/>
    </row>
    <row r="45" spans="2:5" s="32" customFormat="1">
      <c r="E45" s="33"/>
    </row>
    <row r="46" spans="2:5" s="32" customFormat="1">
      <c r="B46" s="35"/>
      <c r="C46" s="35"/>
      <c r="D46" s="35"/>
      <c r="E46" s="34"/>
    </row>
    <row r="47" spans="2:5" s="32" customFormat="1">
      <c r="E47" s="33"/>
    </row>
    <row r="48" spans="2:5" s="32" customFormat="1">
      <c r="E48" s="33"/>
    </row>
    <row r="49" spans="2:5" s="32" customFormat="1">
      <c r="E49" s="33"/>
    </row>
    <row r="50" spans="2:5" s="32" customFormat="1">
      <c r="E50" s="33"/>
    </row>
    <row r="51" spans="2:5" s="32" customFormat="1">
      <c r="E51" s="33"/>
    </row>
    <row r="52" spans="2:5" s="32" customFormat="1">
      <c r="E52" s="33"/>
    </row>
    <row r="53" spans="2:5" s="32" customFormat="1">
      <c r="B53" s="35"/>
      <c r="C53" s="35"/>
      <c r="D53" s="35"/>
      <c r="E53" s="34"/>
    </row>
    <row r="54" spans="2:5" s="32" customFormat="1">
      <c r="E54" s="33"/>
    </row>
    <row r="55" spans="2:5" s="32" customFormat="1">
      <c r="E55" s="33"/>
    </row>
    <row r="56" spans="2:5" s="32" customFormat="1">
      <c r="E56" s="33"/>
    </row>
    <row r="57" spans="2:5" s="32" customFormat="1">
      <c r="E57" s="33"/>
    </row>
    <row r="58" spans="2:5" s="32" customFormat="1">
      <c r="E58" s="33"/>
    </row>
    <row r="59" spans="2:5" s="32" customFormat="1">
      <c r="B59" s="35"/>
      <c r="C59" s="35"/>
      <c r="D59" s="35"/>
      <c r="E59" s="34"/>
    </row>
    <row r="60" spans="2:5" s="32" customFormat="1">
      <c r="E60" s="33"/>
    </row>
    <row r="61" spans="2:5" s="32" customFormat="1">
      <c r="E61" s="33"/>
    </row>
    <row r="62" spans="2:5" s="32" customFormat="1">
      <c r="E62" s="33"/>
    </row>
    <row r="63" spans="2:5" s="32" customFormat="1">
      <c r="E63" s="33"/>
    </row>
    <row r="64" spans="2:5" s="32" customFormat="1">
      <c r="E64" s="33"/>
    </row>
    <row r="65" spans="2:5" s="32" customFormat="1">
      <c r="E65" s="33"/>
    </row>
    <row r="66" spans="2:5" s="32" customFormat="1">
      <c r="E66" s="33"/>
    </row>
    <row r="67" spans="2:5" s="32" customFormat="1">
      <c r="E67" s="33"/>
    </row>
    <row r="68" spans="2:5" s="32" customFormat="1">
      <c r="E68" s="33"/>
    </row>
    <row r="69" spans="2:5" s="32" customFormat="1">
      <c r="B69" s="35"/>
      <c r="C69" s="35"/>
      <c r="D69" s="35"/>
      <c r="E69" s="34"/>
    </row>
    <row r="70" spans="2:5" s="32" customFormat="1">
      <c r="E70" s="33"/>
    </row>
    <row r="71" spans="2:5" s="32" customFormat="1">
      <c r="E71" s="33"/>
    </row>
    <row r="72" spans="2:5" s="32" customFormat="1">
      <c r="E72" s="33"/>
    </row>
    <row r="73" spans="2:5" s="32" customFormat="1">
      <c r="E73" s="33"/>
    </row>
    <row r="74" spans="2:5" s="32" customFormat="1">
      <c r="E74" s="33"/>
    </row>
    <row r="75" spans="2:5" s="32" customFormat="1">
      <c r="E75" s="33"/>
    </row>
    <row r="76" spans="2:5" s="32" customFormat="1">
      <c r="B76" s="35"/>
      <c r="C76" s="35"/>
      <c r="D76" s="35"/>
      <c r="E76" s="34"/>
    </row>
    <row r="77" spans="2:5" s="32" customFormat="1">
      <c r="E77" s="33"/>
    </row>
    <row r="78" spans="2:5" s="32" customFormat="1">
      <c r="E78" s="33"/>
    </row>
    <row r="79" spans="2:5" s="32" customFormat="1">
      <c r="E79" s="33"/>
    </row>
    <row r="80" spans="2:5" s="32" customFormat="1">
      <c r="E80" s="33"/>
    </row>
    <row r="81" spans="2:5" s="32" customFormat="1">
      <c r="E81" s="33"/>
    </row>
    <row r="82" spans="2:5" s="32" customFormat="1">
      <c r="E82" s="33"/>
    </row>
    <row r="83" spans="2:5" s="32" customFormat="1">
      <c r="E83" s="33"/>
    </row>
    <row r="84" spans="2:5" s="32" customFormat="1">
      <c r="B84" s="35"/>
      <c r="C84" s="35"/>
      <c r="D84" s="35"/>
      <c r="E84" s="34"/>
    </row>
    <row r="85" spans="2:5" s="32" customFormat="1">
      <c r="E85" s="33"/>
    </row>
    <row r="86" spans="2:5" s="32" customFormat="1">
      <c r="E86" s="33"/>
    </row>
    <row r="87" spans="2:5" s="32" customFormat="1">
      <c r="B87" s="35"/>
      <c r="C87" s="35"/>
      <c r="D87" s="35"/>
      <c r="E87" s="34"/>
    </row>
    <row r="88" spans="2:5" s="32" customFormat="1">
      <c r="E88" s="33"/>
    </row>
    <row r="89" spans="2:5" s="32" customFormat="1">
      <c r="E89" s="33"/>
    </row>
    <row r="90" spans="2:5" s="32" customFormat="1">
      <c r="E90" s="33"/>
    </row>
    <row r="91" spans="2:5" s="32" customFormat="1">
      <c r="E91" s="33"/>
    </row>
    <row r="92" spans="2:5" s="32" customFormat="1">
      <c r="E92" s="33"/>
    </row>
    <row r="93" spans="2:5" s="32" customFormat="1">
      <c r="E93" s="33"/>
    </row>
    <row r="94" spans="2:5" s="32" customFormat="1">
      <c r="E94" s="33"/>
    </row>
    <row r="95" spans="2:5" s="32" customFormat="1">
      <c r="E95" s="33"/>
    </row>
    <row r="96" spans="2:5" s="32" customFormat="1">
      <c r="B96" s="35"/>
      <c r="C96" s="35"/>
      <c r="D96" s="35"/>
      <c r="E96" s="34"/>
    </row>
    <row r="97" spans="2:5" s="32" customFormat="1">
      <c r="E97" s="33"/>
    </row>
    <row r="98" spans="2:5" s="32" customFormat="1">
      <c r="E98" s="33"/>
    </row>
    <row r="99" spans="2:5" s="32" customFormat="1">
      <c r="B99" s="35"/>
      <c r="C99" s="35"/>
      <c r="D99" s="35"/>
      <c r="E99" s="34"/>
    </row>
    <row r="100" spans="2:5" s="32" customFormat="1">
      <c r="E100" s="33"/>
    </row>
    <row r="101" spans="2:5" s="32" customFormat="1">
      <c r="E101" s="33"/>
    </row>
    <row r="102" spans="2:5" s="32" customFormat="1">
      <c r="E102" s="33"/>
    </row>
    <row r="103" spans="2:5" s="32" customFormat="1">
      <c r="B103" s="35"/>
      <c r="C103" s="35"/>
      <c r="D103" s="35"/>
      <c r="E103" s="34"/>
    </row>
    <row r="104" spans="2:5" s="32" customFormat="1">
      <c r="E104" s="33"/>
    </row>
    <row r="105" spans="2:5" s="32" customFormat="1">
      <c r="B105" s="35"/>
      <c r="C105" s="35"/>
      <c r="D105" s="35"/>
      <c r="E105" s="34"/>
    </row>
    <row r="106" spans="2:5" s="32" customFormat="1">
      <c r="E106" s="33"/>
    </row>
    <row r="107" spans="2:5" s="32" customFormat="1">
      <c r="E107" s="33"/>
    </row>
    <row r="108" spans="2:5" s="32" customFormat="1">
      <c r="E108" s="33"/>
    </row>
    <row r="109" spans="2:5" s="32" customFormat="1">
      <c r="E109" s="33"/>
    </row>
    <row r="110" spans="2:5" s="32" customFormat="1">
      <c r="E110" s="33"/>
    </row>
    <row r="111" spans="2:5" s="32" customFormat="1">
      <c r="E111" s="33"/>
    </row>
    <row r="112" spans="2:5" s="32" customFormat="1">
      <c r="E112" s="33"/>
    </row>
    <row r="113" spans="2:5" s="32" customFormat="1">
      <c r="B113" s="35"/>
      <c r="C113" s="35"/>
      <c r="D113" s="35"/>
      <c r="E113" s="34"/>
    </row>
    <row r="114" spans="2:5" s="32" customFormat="1">
      <c r="E114" s="33"/>
    </row>
    <row r="115" spans="2:5" s="32" customFormat="1">
      <c r="E115" s="33"/>
    </row>
    <row r="116" spans="2:5" s="32" customFormat="1">
      <c r="B116" s="35"/>
      <c r="C116" s="35"/>
      <c r="D116" s="35"/>
      <c r="E116" s="34"/>
    </row>
    <row r="117" spans="2:5" s="32" customFormat="1">
      <c r="E117" s="33"/>
    </row>
    <row r="118" spans="2:5" s="32" customFormat="1">
      <c r="E118" s="33"/>
    </row>
    <row r="119" spans="2:5" s="32" customFormat="1">
      <c r="E119" s="33"/>
    </row>
    <row r="120" spans="2:5" s="32" customFormat="1">
      <c r="E120" s="33"/>
    </row>
    <row r="121" spans="2:5" s="32" customFormat="1">
      <c r="E121" s="33"/>
    </row>
    <row r="122" spans="2:5" s="32" customFormat="1">
      <c r="E122" s="33"/>
    </row>
    <row r="123" spans="2:5" s="32" customFormat="1">
      <c r="E123" s="33"/>
    </row>
    <row r="124" spans="2:5" s="32" customFormat="1">
      <c r="B124" s="35"/>
      <c r="C124" s="35"/>
      <c r="D124" s="35"/>
      <c r="E124" s="34"/>
    </row>
    <row r="125" spans="2:5" s="32" customFormat="1">
      <c r="E125" s="33"/>
    </row>
    <row r="126" spans="2:5" s="32" customFormat="1">
      <c r="E126" s="33"/>
    </row>
    <row r="127" spans="2:5" s="32" customFormat="1">
      <c r="B127" s="35"/>
      <c r="C127" s="35"/>
      <c r="D127" s="35"/>
      <c r="E127" s="34"/>
    </row>
    <row r="128" spans="2:5" s="32" customFormat="1">
      <c r="E128" s="33"/>
    </row>
    <row r="129" spans="2:5" s="32" customFormat="1">
      <c r="E129" s="33"/>
    </row>
    <row r="130" spans="2:5" s="32" customFormat="1">
      <c r="E130" s="33"/>
    </row>
    <row r="131" spans="2:5" s="32" customFormat="1">
      <c r="E131" s="33"/>
    </row>
    <row r="132" spans="2:5" s="32" customFormat="1">
      <c r="E132" s="33"/>
    </row>
    <row r="133" spans="2:5" s="32" customFormat="1">
      <c r="E133" s="33"/>
    </row>
    <row r="134" spans="2:5" s="32" customFormat="1">
      <c r="E134" s="33"/>
    </row>
    <row r="135" spans="2:5" s="32" customFormat="1">
      <c r="B135" s="35"/>
      <c r="C135" s="35"/>
      <c r="D135" s="35"/>
      <c r="E135" s="34"/>
    </row>
    <row r="136" spans="2:5" s="32" customFormat="1">
      <c r="E136" s="33"/>
    </row>
    <row r="137" spans="2:5" s="32" customFormat="1">
      <c r="E137" s="33"/>
    </row>
    <row r="138" spans="2:5" s="32" customFormat="1">
      <c r="E138" s="33"/>
    </row>
    <row r="139" spans="2:5" s="32" customFormat="1">
      <c r="B139" s="35"/>
      <c r="C139" s="35"/>
      <c r="D139" s="35"/>
      <c r="E139" s="34"/>
    </row>
    <row r="140" spans="2:5" s="32" customFormat="1">
      <c r="E140" s="33"/>
    </row>
    <row r="141" spans="2:5" s="32" customFormat="1">
      <c r="E141" s="33"/>
    </row>
    <row r="142" spans="2:5" s="32" customFormat="1">
      <c r="E142" s="33"/>
    </row>
    <row r="143" spans="2:5" s="32" customFormat="1"/>
  </sheetData>
  <mergeCells count="3">
    <mergeCell ref="A3:E3"/>
    <mergeCell ref="A4:E4"/>
    <mergeCell ref="A5:E5"/>
  </mergeCells>
  <phoneticPr fontId="42" type="noConversion"/>
  <printOptions horizontalCentered="1"/>
  <pageMargins left="0.7" right="0.7" top="0.75" bottom="0.75" header="0.3" footer="0.3"/>
  <pageSetup orientation="portrait" r:id="rId1"/>
  <headerFooter alignWithMargins="0">
    <oddFooter>&amp;R&amp;"Arial,Regular"&amp;10&amp;A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2"/>
  <sheetViews>
    <sheetView zoomScaleNormal="100" workbookViewId="0">
      <selection activeCell="B33" sqref="B33"/>
    </sheetView>
  </sheetViews>
  <sheetFormatPr defaultColWidth="9.109375" defaultRowHeight="13.2"/>
  <cols>
    <col min="1" max="1" width="21" style="15" customWidth="1"/>
    <col min="2" max="2" width="12.88671875" style="15" bestFit="1" customWidth="1"/>
    <col min="3" max="3" width="11.33203125" style="15" bestFit="1" customWidth="1"/>
    <col min="4" max="4" width="12.88671875" style="15" bestFit="1" customWidth="1"/>
    <col min="5" max="5" width="11.33203125" style="15" bestFit="1" customWidth="1"/>
    <col min="6" max="6" width="8.6640625" style="15" customWidth="1"/>
    <col min="7" max="7" width="14" style="15" bestFit="1" customWidth="1"/>
    <col min="8" max="16384" width="9.109375" style="15"/>
  </cols>
  <sheetData>
    <row r="1" spans="1:8">
      <c r="A1" s="31"/>
      <c r="G1" s="134"/>
    </row>
    <row r="3" spans="1:8">
      <c r="A3" s="478" t="s">
        <v>41</v>
      </c>
      <c r="B3" s="478"/>
      <c r="C3" s="478"/>
      <c r="D3" s="478"/>
      <c r="E3" s="478"/>
      <c r="F3" s="478"/>
      <c r="G3" s="478"/>
    </row>
    <row r="4" spans="1:8">
      <c r="A4" s="478" t="s">
        <v>42</v>
      </c>
      <c r="B4" s="478"/>
      <c r="C4" s="478"/>
      <c r="D4" s="478"/>
      <c r="E4" s="478"/>
      <c r="F4" s="478"/>
      <c r="G4" s="478"/>
    </row>
    <row r="5" spans="1:8">
      <c r="A5" s="479">
        <v>41639</v>
      </c>
      <c r="B5" s="479"/>
      <c r="C5" s="479"/>
      <c r="D5" s="479"/>
      <c r="E5" s="479"/>
      <c r="F5" s="479"/>
      <c r="G5" s="479"/>
    </row>
    <row r="7" spans="1:8" ht="13.8" thickBot="1"/>
    <row r="8" spans="1:8">
      <c r="B8" s="372" t="s">
        <v>43</v>
      </c>
      <c r="C8" s="16" t="s">
        <v>44</v>
      </c>
      <c r="D8" s="16" t="s">
        <v>45</v>
      </c>
      <c r="E8" s="16" t="s">
        <v>46</v>
      </c>
      <c r="F8" s="16" t="s">
        <v>47</v>
      </c>
      <c r="G8" s="16" t="s">
        <v>48</v>
      </c>
    </row>
    <row r="9" spans="1:8">
      <c r="A9" s="17" t="s">
        <v>49</v>
      </c>
      <c r="B9" s="77">
        <v>56045.95</v>
      </c>
      <c r="C9" s="78">
        <v>0</v>
      </c>
      <c r="D9" s="78"/>
      <c r="E9" s="78">
        <v>46221.48</v>
      </c>
      <c r="F9" s="78"/>
      <c r="G9" s="78">
        <v>90286.88</v>
      </c>
    </row>
    <row r="10" spans="1:8">
      <c r="A10" s="17" t="s">
        <v>50</v>
      </c>
      <c r="B10" s="77"/>
      <c r="C10" s="78"/>
      <c r="D10" s="78"/>
      <c r="E10" s="78"/>
      <c r="F10" s="78"/>
      <c r="G10" s="78">
        <v>1685485.95</v>
      </c>
    </row>
    <row r="11" spans="1:8">
      <c r="A11" s="17" t="s">
        <v>51</v>
      </c>
      <c r="B11" s="77">
        <v>77641.88</v>
      </c>
      <c r="C11" s="78"/>
      <c r="D11" s="78"/>
      <c r="E11" s="78"/>
      <c r="F11" s="78"/>
      <c r="G11" s="78"/>
    </row>
    <row r="12" spans="1:8">
      <c r="A12" s="15" t="s">
        <v>52</v>
      </c>
      <c r="B12" s="79">
        <v>558404.41999999993</v>
      </c>
      <c r="C12" s="78">
        <v>910772.82</v>
      </c>
      <c r="D12" s="78">
        <v>1493908.59</v>
      </c>
      <c r="E12" s="78">
        <v>63276.539999999994</v>
      </c>
      <c r="F12" s="78">
        <v>0</v>
      </c>
      <c r="G12" s="78">
        <v>8691151.9800000004</v>
      </c>
    </row>
    <row r="13" spans="1:8">
      <c r="A13" s="15" t="s">
        <v>53</v>
      </c>
      <c r="B13" s="77">
        <v>70091.19</v>
      </c>
      <c r="C13" s="78">
        <v>57844.13</v>
      </c>
      <c r="D13" s="78">
        <v>50196.409999999996</v>
      </c>
      <c r="E13" s="78">
        <v>110957.29</v>
      </c>
      <c r="F13" s="78">
        <v>0</v>
      </c>
      <c r="G13" s="78">
        <v>61457.71</v>
      </c>
    </row>
    <row r="14" spans="1:8">
      <c r="A14" s="15" t="s">
        <v>54</v>
      </c>
      <c r="B14" s="77">
        <v>0</v>
      </c>
      <c r="C14" s="78"/>
      <c r="D14" s="78"/>
      <c r="E14" s="78"/>
      <c r="F14" s="78"/>
      <c r="G14" s="78"/>
    </row>
    <row r="15" spans="1:8">
      <c r="A15" s="15" t="s">
        <v>55</v>
      </c>
      <c r="B15" s="77">
        <v>324584.77</v>
      </c>
      <c r="C15" s="78">
        <v>0</v>
      </c>
      <c r="D15" s="78"/>
      <c r="E15" s="78"/>
      <c r="F15" s="78">
        <v>0</v>
      </c>
      <c r="G15" s="78">
        <v>377255.67999999999</v>
      </c>
    </row>
    <row r="16" spans="1:8" ht="13.8" thickBot="1">
      <c r="A16" s="15" t="s">
        <v>56</v>
      </c>
      <c r="B16" s="80">
        <f t="shared" ref="B16:G16" si="0">SUM(B9:B15)</f>
        <v>1086768.21</v>
      </c>
      <c r="C16" s="81">
        <f t="shared" si="0"/>
        <v>968616.95</v>
      </c>
      <c r="D16" s="81">
        <f t="shared" si="0"/>
        <v>1544105</v>
      </c>
      <c r="E16" s="81">
        <f t="shared" si="0"/>
        <v>220455.31</v>
      </c>
      <c r="F16" s="81">
        <f t="shared" si="0"/>
        <v>0</v>
      </c>
      <c r="G16" s="81">
        <f t="shared" si="0"/>
        <v>10905638.200000001</v>
      </c>
      <c r="H16" s="17" t="s">
        <v>14</v>
      </c>
    </row>
    <row r="18" spans="1:8">
      <c r="A18" s="15" t="s">
        <v>15</v>
      </c>
    </row>
    <row r="19" spans="1:8">
      <c r="A19" s="17" t="s">
        <v>57</v>
      </c>
    </row>
    <row r="22" spans="1:8" s="230" customFormat="1"/>
    <row r="23" spans="1:8" s="230" customFormat="1" ht="14.4">
      <c r="A23" s="231"/>
      <c r="B23" s="232"/>
      <c r="C23" s="232"/>
      <c r="D23" s="232"/>
      <c r="E23" s="232"/>
      <c r="F23" s="232"/>
      <c r="G23" s="232"/>
      <c r="H23" s="231"/>
    </row>
    <row r="24" spans="1:8" s="230" customFormat="1" ht="14.4">
      <c r="A24" s="231"/>
      <c r="B24" s="233"/>
      <c r="C24" s="233"/>
      <c r="D24" s="233"/>
      <c r="E24" s="233"/>
      <c r="F24" s="233"/>
      <c r="G24" s="233"/>
      <c r="H24" s="231"/>
    </row>
    <row r="25" spans="1:8" s="230" customFormat="1" ht="14.4">
      <c r="A25" s="231"/>
      <c r="B25" s="233"/>
      <c r="C25" s="233"/>
      <c r="D25" s="233"/>
      <c r="E25" s="233"/>
      <c r="F25" s="233"/>
      <c r="G25" s="233"/>
      <c r="H25" s="231"/>
    </row>
    <row r="26" spans="1:8" s="230" customFormat="1" ht="14.4">
      <c r="A26" s="231"/>
      <c r="B26" s="233"/>
      <c r="C26" s="233"/>
      <c r="D26" s="233"/>
      <c r="E26" s="233"/>
      <c r="F26" s="233"/>
      <c r="G26" s="233"/>
      <c r="H26" s="231"/>
    </row>
    <row r="27" spans="1:8" s="230" customFormat="1" ht="14.4">
      <c r="A27" s="231"/>
      <c r="B27" s="233"/>
      <c r="C27" s="233"/>
      <c r="D27" s="233"/>
      <c r="E27" s="233"/>
      <c r="F27" s="233"/>
      <c r="G27" s="233"/>
      <c r="H27" s="231"/>
    </row>
    <row r="28" spans="1:8" s="230" customFormat="1" ht="14.4">
      <c r="A28" s="231"/>
      <c r="B28" s="233"/>
      <c r="C28" s="233"/>
      <c r="D28" s="233"/>
      <c r="E28" s="233"/>
      <c r="F28" s="233"/>
      <c r="G28" s="233"/>
      <c r="H28" s="231"/>
    </row>
    <row r="29" spans="1:8" s="230" customFormat="1" ht="14.4">
      <c r="A29" s="231"/>
      <c r="B29" s="233"/>
      <c r="C29" s="233"/>
      <c r="D29" s="233"/>
      <c r="E29" s="233"/>
      <c r="F29" s="233"/>
      <c r="G29" s="233"/>
      <c r="H29" s="231"/>
    </row>
    <row r="30" spans="1:8" s="230" customFormat="1" ht="14.4">
      <c r="A30" s="231"/>
      <c r="B30" s="233"/>
      <c r="C30" s="233"/>
      <c r="D30" s="233"/>
      <c r="E30" s="233"/>
      <c r="F30" s="233"/>
      <c r="G30" s="233"/>
      <c r="H30" s="231"/>
    </row>
    <row r="31" spans="1:8" s="230" customFormat="1" ht="14.4">
      <c r="A31" s="231"/>
      <c r="B31" s="233" t="s">
        <v>646</v>
      </c>
      <c r="C31" s="233"/>
      <c r="D31" s="233"/>
      <c r="E31" s="233"/>
      <c r="F31" s="233"/>
      <c r="G31" s="233"/>
      <c r="H31" s="231"/>
    </row>
    <row r="32" spans="1:8" s="230" customFormat="1" ht="14.4">
      <c r="A32" s="231"/>
      <c r="B32" s="231"/>
      <c r="C32" s="231"/>
      <c r="D32" s="231"/>
      <c r="E32" s="231"/>
      <c r="F32" s="231"/>
      <c r="G32" s="231"/>
      <c r="H32" s="231"/>
    </row>
  </sheetData>
  <mergeCells count="3">
    <mergeCell ref="A3:G3"/>
    <mergeCell ref="A4:G4"/>
    <mergeCell ref="A5:G5"/>
  </mergeCells>
  <phoneticPr fontId="42" type="noConversion"/>
  <printOptions horizontalCentered="1"/>
  <pageMargins left="0.75" right="0.75" top="1" bottom="1" header="0.5" footer="0.5"/>
  <pageSetup scale="88" orientation="portrait" r:id="rId1"/>
  <headerFooter alignWithMargins="0">
    <oddFooter>&amp;R&amp;"Arial,Regular"&amp;10&amp;A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1"/>
  <sheetViews>
    <sheetView topLeftCell="A7" workbookViewId="0">
      <selection activeCell="B31" sqref="B31"/>
    </sheetView>
  </sheetViews>
  <sheetFormatPr defaultRowHeight="14.4"/>
  <cols>
    <col min="1" max="1" width="19.109375" bestFit="1" customWidth="1"/>
    <col min="2" max="2" width="16.88671875" bestFit="1" customWidth="1"/>
    <col min="3" max="3" width="26.88671875" bestFit="1" customWidth="1"/>
    <col min="4" max="4" width="38.109375" customWidth="1"/>
    <col min="5" max="5" width="8.6640625" bestFit="1" customWidth="1"/>
    <col min="6" max="6" width="10.5546875" bestFit="1" customWidth="1"/>
    <col min="8" max="8" width="10.5546875" customWidth="1"/>
    <col min="9" max="9" width="10.5546875" bestFit="1" customWidth="1"/>
  </cols>
  <sheetData>
    <row r="1" spans="1:9">
      <c r="A1" s="31"/>
      <c r="I1" s="134"/>
    </row>
    <row r="3" spans="1:9">
      <c r="A3" s="480" t="s">
        <v>0</v>
      </c>
      <c r="B3" s="481"/>
      <c r="C3" s="481"/>
      <c r="D3" s="481"/>
      <c r="E3" s="481"/>
      <c r="F3" s="481"/>
      <c r="G3" s="481"/>
      <c r="H3" s="481"/>
      <c r="I3" s="481"/>
    </row>
    <row r="4" spans="1:9">
      <c r="A4" s="481" t="s">
        <v>147</v>
      </c>
      <c r="B4" s="481"/>
      <c r="C4" s="481"/>
      <c r="D4" s="481"/>
      <c r="E4" s="481"/>
      <c r="F4" s="481"/>
      <c r="G4" s="481"/>
      <c r="H4" s="481"/>
      <c r="I4" s="481"/>
    </row>
    <row r="5" spans="1:9">
      <c r="A5" s="482" t="str">
        <f>'WP 2'!A5:E5</f>
        <v>Twelve Months Ended December 31, 2013</v>
      </c>
      <c r="B5" s="481"/>
      <c r="C5" s="481"/>
      <c r="D5" s="481"/>
      <c r="E5" s="481"/>
      <c r="F5" s="481"/>
      <c r="G5" s="481"/>
      <c r="H5" s="481"/>
      <c r="I5" s="481"/>
    </row>
    <row r="8" spans="1:9">
      <c r="A8" s="104" t="s">
        <v>148</v>
      </c>
      <c r="B8" s="104"/>
      <c r="C8" s="104"/>
      <c r="D8" s="104"/>
      <c r="E8" s="483" t="s">
        <v>90</v>
      </c>
      <c r="F8" s="483"/>
      <c r="G8" s="483"/>
      <c r="H8" s="238"/>
    </row>
    <row r="9" spans="1:9">
      <c r="A9" s="105" t="s">
        <v>149</v>
      </c>
      <c r="B9" s="105" t="s">
        <v>150</v>
      </c>
      <c r="C9" s="105" t="s">
        <v>151</v>
      </c>
      <c r="D9" s="105" t="s">
        <v>152</v>
      </c>
      <c r="E9" s="105" t="s">
        <v>153</v>
      </c>
      <c r="F9" s="105" t="s">
        <v>154</v>
      </c>
      <c r="G9" s="106" t="s">
        <v>155</v>
      </c>
    </row>
    <row r="10" spans="1:9">
      <c r="A10" s="110" t="s">
        <v>88</v>
      </c>
      <c r="B10" s="110" t="s">
        <v>156</v>
      </c>
      <c r="C10" s="110" t="s">
        <v>157</v>
      </c>
      <c r="D10" s="110" t="s">
        <v>158</v>
      </c>
      <c r="E10" s="111"/>
      <c r="F10" s="111">
        <v>142352</v>
      </c>
      <c r="G10" s="107"/>
    </row>
    <row r="11" spans="1:9">
      <c r="A11" s="110"/>
      <c r="B11" s="110"/>
      <c r="C11" s="110"/>
      <c r="D11" s="110" t="s">
        <v>619</v>
      </c>
      <c r="E11" s="111"/>
      <c r="F11" s="111">
        <v>17992.920000000002</v>
      </c>
      <c r="G11" s="107"/>
    </row>
    <row r="12" spans="1:9">
      <c r="A12" s="110"/>
      <c r="B12" s="110" t="s">
        <v>160</v>
      </c>
      <c r="C12" s="110"/>
      <c r="D12" s="110"/>
      <c r="E12" s="237"/>
      <c r="F12" s="237">
        <f>SUM(F10:F11)</f>
        <v>160344.92000000001</v>
      </c>
      <c r="G12" s="107"/>
    </row>
    <row r="13" spans="1:9">
      <c r="A13" s="110"/>
      <c r="B13" s="110" t="s">
        <v>161</v>
      </c>
      <c r="C13" s="110" t="s">
        <v>162</v>
      </c>
      <c r="D13" s="110" t="s">
        <v>158</v>
      </c>
      <c r="E13" s="111"/>
      <c r="F13" s="111">
        <v>0</v>
      </c>
      <c r="G13" s="107"/>
    </row>
    <row r="14" spans="1:9">
      <c r="A14" s="110"/>
      <c r="B14" s="110"/>
      <c r="C14" s="110"/>
      <c r="D14" s="110" t="s">
        <v>619</v>
      </c>
      <c r="E14" s="111"/>
      <c r="F14" s="111">
        <v>75694.12</v>
      </c>
      <c r="G14" s="107"/>
    </row>
    <row r="15" spans="1:9">
      <c r="A15" s="110"/>
      <c r="B15" s="110"/>
      <c r="C15" s="110"/>
      <c r="D15" s="110" t="s">
        <v>159</v>
      </c>
      <c r="E15" s="111">
        <v>9099.59</v>
      </c>
      <c r="F15" s="111"/>
      <c r="G15" s="107"/>
    </row>
    <row r="16" spans="1:9">
      <c r="A16" s="110"/>
      <c r="B16" s="110"/>
      <c r="C16" s="110"/>
      <c r="D16" s="110" t="s">
        <v>620</v>
      </c>
      <c r="E16" s="111">
        <v>1231.73</v>
      </c>
      <c r="F16" s="111"/>
      <c r="G16" s="107"/>
    </row>
    <row r="17" spans="1:7">
      <c r="A17" s="110"/>
      <c r="B17" s="110" t="s">
        <v>163</v>
      </c>
      <c r="C17" s="110"/>
      <c r="D17" s="110"/>
      <c r="E17" s="237">
        <f>SUM(E13:E16)</f>
        <v>10331.32</v>
      </c>
      <c r="F17" s="237">
        <f t="shared" ref="F17" si="0">SUM(F13:F16)</f>
        <v>75694.12</v>
      </c>
      <c r="G17" s="107"/>
    </row>
    <row r="18" spans="1:7">
      <c r="A18" s="110"/>
      <c r="B18" s="110" t="s">
        <v>164</v>
      </c>
      <c r="C18" s="110" t="s">
        <v>165</v>
      </c>
      <c r="D18" s="110" t="s">
        <v>158</v>
      </c>
      <c r="E18" s="111"/>
      <c r="F18" s="111"/>
      <c r="G18" s="107"/>
    </row>
    <row r="19" spans="1:7">
      <c r="A19" s="110"/>
      <c r="B19" s="110"/>
      <c r="C19" s="110"/>
      <c r="D19" s="110" t="s">
        <v>619</v>
      </c>
      <c r="E19" s="235"/>
      <c r="F19" s="235"/>
      <c r="G19" s="107"/>
    </row>
    <row r="20" spans="1:7">
      <c r="A20" s="110"/>
      <c r="B20" s="110"/>
      <c r="C20" s="110"/>
      <c r="D20" s="110" t="s">
        <v>621</v>
      </c>
      <c r="E20" s="235"/>
      <c r="F20" s="235"/>
      <c r="G20" s="107"/>
    </row>
    <row r="21" spans="1:7">
      <c r="A21" s="110"/>
      <c r="B21" s="110"/>
      <c r="C21" s="110"/>
      <c r="D21" s="110" t="s">
        <v>622</v>
      </c>
      <c r="E21" s="236"/>
      <c r="F21" s="236"/>
      <c r="G21" s="107"/>
    </row>
    <row r="22" spans="1:7">
      <c r="A22" s="110"/>
      <c r="B22" s="110" t="s">
        <v>166</v>
      </c>
      <c r="C22" s="110"/>
      <c r="D22" s="110"/>
      <c r="E22" s="237">
        <f>SUM(E18:E21)</f>
        <v>0</v>
      </c>
      <c r="F22" s="237">
        <f t="shared" ref="F22" si="1">SUM(F18:F21)</f>
        <v>0</v>
      </c>
      <c r="G22" s="107"/>
    </row>
    <row r="23" spans="1:7">
      <c r="A23" s="110"/>
      <c r="B23" s="110"/>
      <c r="C23" s="110"/>
      <c r="D23" s="110"/>
      <c r="E23" s="111"/>
      <c r="F23" s="111"/>
    </row>
    <row r="24" spans="1:7" ht="15" thickBot="1">
      <c r="A24" s="110" t="s">
        <v>167</v>
      </c>
      <c r="B24" s="110"/>
      <c r="C24" s="110"/>
      <c r="D24" s="110"/>
      <c r="E24" s="112">
        <f>E22+E17+E12</f>
        <v>10331.32</v>
      </c>
      <c r="F24" s="373">
        <f t="shared" ref="F24" si="2">F22+F17+F12</f>
        <v>236039.04000000001</v>
      </c>
      <c r="G24" s="108">
        <f>SUM(E24:F24)</f>
        <v>246370.36000000002</v>
      </c>
    </row>
    <row r="25" spans="1:7" ht="15" thickTop="1"/>
    <row r="26" spans="1:7">
      <c r="A26" s="109" t="s">
        <v>623</v>
      </c>
    </row>
    <row r="31" spans="1:7">
      <c r="B31" t="s">
        <v>646</v>
      </c>
    </row>
  </sheetData>
  <mergeCells count="4">
    <mergeCell ref="A3:I3"/>
    <mergeCell ref="A4:I4"/>
    <mergeCell ref="A5:I5"/>
    <mergeCell ref="E8:G8"/>
  </mergeCells>
  <phoneticPr fontId="42" type="noConversion"/>
  <pageMargins left="0.7" right="0.7" top="0.75" bottom="0.75" header="0.3" footer="0.3"/>
  <pageSetup scale="60" orientation="portrait" r:id="rId1"/>
  <headerFooter>
    <oddFooter>&amp;R&amp;"Arial,Regular"&amp;10&amp;A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45"/>
  <sheetViews>
    <sheetView zoomScaleNormal="100" workbookViewId="0">
      <selection activeCell="A3" sqref="A3:D3"/>
    </sheetView>
  </sheetViews>
  <sheetFormatPr defaultColWidth="9.109375" defaultRowHeight="13.2"/>
  <cols>
    <col min="1" max="1" width="9.109375" style="70"/>
    <col min="2" max="2" width="14.44140625" style="70" customWidth="1"/>
    <col min="3" max="3" width="13.5546875" style="70" customWidth="1"/>
    <col min="4" max="4" width="19.33203125" style="70" customWidth="1"/>
    <col min="5" max="5" width="11.88671875" style="70" bestFit="1" customWidth="1"/>
    <col min="6" max="16384" width="9.109375" style="70"/>
  </cols>
  <sheetData>
    <row r="1" spans="1:5">
      <c r="A1" s="485" t="s">
        <v>58</v>
      </c>
      <c r="B1" s="485"/>
      <c r="C1" s="485"/>
      <c r="D1" s="485"/>
    </row>
    <row r="2" spans="1:5">
      <c r="A2" s="485" t="s">
        <v>688</v>
      </c>
      <c r="B2" s="485"/>
      <c r="C2" s="485"/>
      <c r="D2" s="485"/>
      <c r="E2" s="134"/>
    </row>
    <row r="3" spans="1:5">
      <c r="A3" s="485" t="s">
        <v>698</v>
      </c>
      <c r="B3" s="485"/>
      <c r="C3" s="485"/>
      <c r="D3" s="485"/>
    </row>
    <row r="4" spans="1:5">
      <c r="A4" s="31"/>
    </row>
    <row r="6" spans="1:5">
      <c r="B6" s="484" t="s">
        <v>128</v>
      </c>
      <c r="C6" s="484"/>
    </row>
    <row r="7" spans="1:5" ht="14.4">
      <c r="B7" s="234">
        <v>41275</v>
      </c>
      <c r="C7" s="234">
        <v>41639</v>
      </c>
      <c r="D7" s="229">
        <v>2013</v>
      </c>
    </row>
    <row r="8" spans="1:5" ht="39.6">
      <c r="B8" s="64" t="s">
        <v>129</v>
      </c>
      <c r="C8" s="64" t="s">
        <v>129</v>
      </c>
      <c r="D8" s="64" t="s">
        <v>130</v>
      </c>
    </row>
    <row r="9" spans="1:5">
      <c r="A9" s="70" t="s">
        <v>43</v>
      </c>
      <c r="B9" s="72">
        <v>66591377</v>
      </c>
      <c r="C9" s="72">
        <v>59713147</v>
      </c>
      <c r="D9" s="71">
        <f>B9-C9</f>
        <v>6878230</v>
      </c>
    </row>
    <row r="10" spans="1:5">
      <c r="A10" s="70" t="s">
        <v>131</v>
      </c>
      <c r="B10" s="72">
        <v>215266267</v>
      </c>
      <c r="C10" s="72">
        <v>206168689</v>
      </c>
      <c r="D10" s="71">
        <f t="shared" ref="D10:D15" si="0">B10-C10</f>
        <v>9097578</v>
      </c>
    </row>
    <row r="11" spans="1:5">
      <c r="A11" s="70" t="s">
        <v>45</v>
      </c>
      <c r="B11" s="72">
        <v>181103341</v>
      </c>
      <c r="C11" s="72">
        <v>176712399</v>
      </c>
      <c r="D11" s="71">
        <f t="shared" si="0"/>
        <v>4390942</v>
      </c>
    </row>
    <row r="12" spans="1:5">
      <c r="A12" s="70" t="s">
        <v>46</v>
      </c>
      <c r="B12" s="72">
        <v>35715852</v>
      </c>
      <c r="C12" s="72">
        <v>33652302</v>
      </c>
      <c r="D12" s="71">
        <f t="shared" si="0"/>
        <v>2063550</v>
      </c>
    </row>
    <row r="13" spans="1:5">
      <c r="A13" s="70" t="s">
        <v>112</v>
      </c>
      <c r="B13" s="72">
        <v>11007597</v>
      </c>
      <c r="C13" s="72">
        <v>8564327</v>
      </c>
      <c r="D13" s="71">
        <f t="shared" si="0"/>
        <v>2443270</v>
      </c>
    </row>
    <row r="14" spans="1:5">
      <c r="A14" s="70" t="s">
        <v>48</v>
      </c>
      <c r="B14" s="72">
        <v>68977871</v>
      </c>
      <c r="C14" s="72">
        <v>66258902</v>
      </c>
      <c r="D14" s="71">
        <f t="shared" si="0"/>
        <v>2718969</v>
      </c>
    </row>
    <row r="15" spans="1:5" ht="13.8" thickBot="1">
      <c r="A15" s="70" t="s">
        <v>56</v>
      </c>
      <c r="B15" s="73">
        <f>SUM(B9:B14)</f>
        <v>578662305</v>
      </c>
      <c r="C15" s="73">
        <f>SUM(C9:C14)</f>
        <v>551069766</v>
      </c>
      <c r="D15" s="73">
        <f t="shared" si="0"/>
        <v>27592539</v>
      </c>
      <c r="E15" s="305"/>
    </row>
    <row r="16" spans="1:5" ht="13.8" thickTop="1"/>
    <row r="17" spans="1:4" ht="52.8">
      <c r="B17" s="64" t="s">
        <v>618</v>
      </c>
      <c r="C17" s="64" t="s">
        <v>132</v>
      </c>
      <c r="D17" s="64" t="s">
        <v>133</v>
      </c>
    </row>
    <row r="18" spans="1:4">
      <c r="A18" s="70" t="s">
        <v>43</v>
      </c>
      <c r="B18" s="72">
        <v>-2497506</v>
      </c>
      <c r="C18" s="74">
        <v>0.39229999999999998</v>
      </c>
      <c r="D18" s="71">
        <f>(B18*C18)*-1</f>
        <v>979771.60379999992</v>
      </c>
    </row>
    <row r="19" spans="1:4">
      <c r="A19" s="70" t="s">
        <v>131</v>
      </c>
      <c r="B19" s="72">
        <v>-2473008</v>
      </c>
      <c r="C19" s="74">
        <v>0.38479999999999998</v>
      </c>
      <c r="D19" s="71">
        <f t="shared" ref="D19:D23" si="1">(B19*C19)*-1</f>
        <v>951613.47839999991</v>
      </c>
    </row>
    <row r="20" spans="1:4">
      <c r="A20" s="70" t="s">
        <v>45</v>
      </c>
      <c r="B20" s="72">
        <v>-2783638</v>
      </c>
      <c r="C20" s="74">
        <v>0.38479999999999998</v>
      </c>
      <c r="D20" s="71">
        <f t="shared" si="1"/>
        <v>1071143.9024</v>
      </c>
    </row>
    <row r="21" spans="1:4">
      <c r="A21" s="70" t="s">
        <v>46</v>
      </c>
      <c r="B21" s="72">
        <v>-1602833</v>
      </c>
      <c r="C21" s="74">
        <v>0.38250000000000001</v>
      </c>
      <c r="D21" s="71">
        <f t="shared" si="1"/>
        <v>613083.62250000006</v>
      </c>
    </row>
    <row r="22" spans="1:4">
      <c r="A22" s="70" t="s">
        <v>112</v>
      </c>
      <c r="B22" s="72">
        <v>-286044</v>
      </c>
      <c r="C22" s="74">
        <v>0.38479999999999998</v>
      </c>
      <c r="D22" s="71">
        <f t="shared" si="1"/>
        <v>110069.73119999999</v>
      </c>
    </row>
    <row r="23" spans="1:4">
      <c r="A23" s="70" t="s">
        <v>48</v>
      </c>
      <c r="B23" s="72">
        <v>-1082273</v>
      </c>
      <c r="C23" s="74">
        <v>0.35</v>
      </c>
      <c r="D23" s="71">
        <f t="shared" si="1"/>
        <v>378795.55</v>
      </c>
    </row>
    <row r="24" spans="1:4" ht="13.8" thickBot="1">
      <c r="A24" s="70" t="s">
        <v>56</v>
      </c>
      <c r="B24" s="73">
        <f>SUM(B18:B23)</f>
        <v>-10725302</v>
      </c>
      <c r="C24" s="75"/>
      <c r="D24" s="73">
        <f>SUM(D18:D23)</f>
        <v>4104477.8882999998</v>
      </c>
    </row>
    <row r="25" spans="1:4" ht="13.8" thickTop="1"/>
    <row r="26" spans="1:4" ht="26.4">
      <c r="B26" s="64" t="s">
        <v>134</v>
      </c>
      <c r="C26" s="64" t="s">
        <v>134</v>
      </c>
      <c r="D26" s="64" t="s">
        <v>135</v>
      </c>
    </row>
    <row r="27" spans="1:4" ht="13.8" thickBot="1">
      <c r="B27" s="65">
        <v>41275</v>
      </c>
      <c r="C27" s="65">
        <v>41639</v>
      </c>
      <c r="D27" s="66">
        <v>2013</v>
      </c>
    </row>
    <row r="28" spans="1:4" ht="13.8" thickBot="1">
      <c r="A28" s="68" t="s">
        <v>43</v>
      </c>
      <c r="B28" s="454">
        <v>-607869</v>
      </c>
      <c r="C28" s="76">
        <v>-567484</v>
      </c>
      <c r="D28" s="67">
        <f>B28-C28</f>
        <v>-40385</v>
      </c>
    </row>
    <row r="29" spans="1:4">
      <c r="A29" s="70" t="s">
        <v>131</v>
      </c>
      <c r="B29" s="455">
        <v>-8430175</v>
      </c>
      <c r="C29" s="72">
        <v>-7853589</v>
      </c>
      <c r="D29" s="72">
        <f t="shared" ref="D29:D34" si="2">B29-C29</f>
        <v>-576586</v>
      </c>
    </row>
    <row r="30" spans="1:4">
      <c r="A30" s="70" t="s">
        <v>45</v>
      </c>
      <c r="B30" s="455">
        <v>-37424036</v>
      </c>
      <c r="C30" s="72">
        <v>-34828951</v>
      </c>
      <c r="D30" s="72">
        <f t="shared" si="2"/>
        <v>-2595085</v>
      </c>
    </row>
    <row r="31" spans="1:4">
      <c r="A31" s="70" t="s">
        <v>46</v>
      </c>
      <c r="B31" s="455">
        <v>-6032124</v>
      </c>
      <c r="C31" s="72">
        <v>-5718733</v>
      </c>
      <c r="D31" s="72">
        <f t="shared" si="2"/>
        <v>-313391</v>
      </c>
    </row>
    <row r="32" spans="1:4">
      <c r="A32" s="70" t="s">
        <v>112</v>
      </c>
      <c r="B32" s="455">
        <v>-2179499</v>
      </c>
      <c r="C32" s="72">
        <v>-1991540</v>
      </c>
      <c r="D32" s="72">
        <f t="shared" si="2"/>
        <v>-187959</v>
      </c>
    </row>
    <row r="33" spans="1:4">
      <c r="A33" s="69" t="s">
        <v>48</v>
      </c>
      <c r="B33" s="456">
        <v>2189010</v>
      </c>
      <c r="C33" s="75">
        <v>2317328</v>
      </c>
      <c r="D33" s="72">
        <f t="shared" si="2"/>
        <v>-128318</v>
      </c>
    </row>
    <row r="34" spans="1:4" ht="13.8" thickBot="1">
      <c r="A34" s="70" t="s">
        <v>56</v>
      </c>
      <c r="B34" s="73">
        <f>SUM(B28:B33)</f>
        <v>-52484693</v>
      </c>
      <c r="C34" s="73">
        <f>SUM(C28:C33)</f>
        <v>-48642969</v>
      </c>
      <c r="D34" s="73">
        <f t="shared" si="2"/>
        <v>-3841724</v>
      </c>
    </row>
    <row r="35" spans="1:4" ht="13.8" thickTop="1"/>
    <row r="36" spans="1:4" ht="52.8">
      <c r="B36" s="64" t="s">
        <v>129</v>
      </c>
      <c r="C36" s="64" t="s">
        <v>136</v>
      </c>
      <c r="D36" s="64" t="s">
        <v>137</v>
      </c>
    </row>
    <row r="37" spans="1:4" ht="13.8" thickBot="1">
      <c r="B37" s="65">
        <v>41275</v>
      </c>
      <c r="C37" s="65">
        <v>41639</v>
      </c>
      <c r="D37" s="66">
        <v>2013</v>
      </c>
    </row>
    <row r="38" spans="1:4" ht="13.8" thickBot="1">
      <c r="A38" s="68" t="s">
        <v>43</v>
      </c>
      <c r="B38" s="76">
        <v>67199246</v>
      </c>
      <c r="C38" s="76">
        <v>59300859</v>
      </c>
      <c r="D38" s="67">
        <f>B38-C38</f>
        <v>7898387</v>
      </c>
    </row>
    <row r="39" spans="1:4">
      <c r="A39" s="70" t="s">
        <v>131</v>
      </c>
      <c r="B39" s="72">
        <v>223696442</v>
      </c>
      <c r="C39" s="72">
        <v>213070665</v>
      </c>
      <c r="D39" s="71">
        <f>B39-C39</f>
        <v>10625777</v>
      </c>
    </row>
    <row r="40" spans="1:4">
      <c r="A40" s="70" t="s">
        <v>45</v>
      </c>
      <c r="B40" s="72">
        <v>218527377</v>
      </c>
      <c r="C40" s="72">
        <v>210470206</v>
      </c>
      <c r="D40" s="71">
        <f t="shared" ref="D40:D44" si="3">B40-C40</f>
        <v>8057171</v>
      </c>
    </row>
    <row r="41" spans="1:4">
      <c r="A41" s="70" t="s">
        <v>46</v>
      </c>
      <c r="B41" s="72">
        <v>41747976</v>
      </c>
      <c r="C41" s="72">
        <v>38757951</v>
      </c>
      <c r="D41" s="71">
        <f t="shared" si="3"/>
        <v>2990025</v>
      </c>
    </row>
    <row r="42" spans="1:4">
      <c r="A42" s="70" t="s">
        <v>112</v>
      </c>
      <c r="B42" s="72">
        <v>13187096</v>
      </c>
      <c r="C42" s="72">
        <v>10445797</v>
      </c>
      <c r="D42" s="71">
        <f t="shared" si="3"/>
        <v>2741299</v>
      </c>
    </row>
    <row r="43" spans="1:4">
      <c r="A43" s="69" t="s">
        <v>48</v>
      </c>
      <c r="B43" s="75">
        <v>66788861</v>
      </c>
      <c r="C43" s="75">
        <v>63562778</v>
      </c>
      <c r="D43" s="71">
        <f t="shared" si="3"/>
        <v>3226083</v>
      </c>
    </row>
    <row r="44" spans="1:4" ht="13.8" thickBot="1">
      <c r="A44" s="70" t="s">
        <v>56</v>
      </c>
      <c r="B44" s="73">
        <f>SUM(B38:B43)</f>
        <v>631146998</v>
      </c>
      <c r="C44" s="73">
        <f>SUM(C38:C43)</f>
        <v>595608256</v>
      </c>
      <c r="D44" s="457">
        <f t="shared" si="3"/>
        <v>35538742</v>
      </c>
    </row>
    <row r="45" spans="1:4" ht="13.8" thickTop="1">
      <c r="D45" s="71"/>
    </row>
  </sheetData>
  <mergeCells count="4">
    <mergeCell ref="B6:C6"/>
    <mergeCell ref="A1:D1"/>
    <mergeCell ref="A2:D2"/>
    <mergeCell ref="A3:D3"/>
  </mergeCells>
  <phoneticPr fontId="42" type="noConversion"/>
  <pageMargins left="0.7" right="0.7" top="0.75" bottom="0.75" header="0.3" footer="0.3"/>
  <pageSetup scale="92" orientation="portrait" r:id="rId1"/>
  <headerFooter>
    <oddFooter>&amp;R&amp;"Arial,Regular"&amp;10&amp;A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1"/>
  <sheetViews>
    <sheetView zoomScaleNormal="100" workbookViewId="0">
      <pane xSplit="1" ySplit="9" topLeftCell="C10" activePane="bottomRight" state="frozen"/>
      <selection pane="topRight"/>
      <selection pane="bottomLeft"/>
      <selection pane="bottomRight" activeCell="M11" sqref="M11"/>
    </sheetView>
  </sheetViews>
  <sheetFormatPr defaultColWidth="9.109375" defaultRowHeight="13.2"/>
  <cols>
    <col min="1" max="1" width="26.44140625" style="3" bestFit="1" customWidth="1"/>
    <col min="2" max="13" width="16" style="3" customWidth="1"/>
    <col min="14" max="14" width="15" style="3" bestFit="1" customWidth="1"/>
    <col min="15" max="16384" width="9.109375" style="3"/>
  </cols>
  <sheetData>
    <row r="1" spans="1:13">
      <c r="A1" s="31"/>
      <c r="M1" s="134"/>
    </row>
    <row r="3" spans="1:13">
      <c r="A3" s="1" t="s">
        <v>34</v>
      </c>
      <c r="B3" s="2"/>
      <c r="C3" s="2"/>
      <c r="D3" s="2"/>
      <c r="E3" s="2"/>
      <c r="F3" s="2"/>
      <c r="G3" s="2"/>
      <c r="H3" s="2"/>
      <c r="I3" s="2"/>
      <c r="J3" s="2"/>
      <c r="K3" s="2"/>
      <c r="L3" s="2"/>
      <c r="M3" s="2"/>
    </row>
    <row r="4" spans="1:13">
      <c r="A4" s="4" t="s">
        <v>35</v>
      </c>
      <c r="B4" s="2"/>
      <c r="C4" s="2"/>
      <c r="D4" s="2"/>
      <c r="E4" s="2"/>
      <c r="F4" s="2"/>
      <c r="G4" s="2"/>
      <c r="H4" s="2"/>
      <c r="I4" s="2"/>
      <c r="J4" s="2"/>
      <c r="K4" s="2"/>
      <c r="L4" s="2"/>
      <c r="M4" s="2"/>
    </row>
    <row r="5" spans="1:13">
      <c r="A5" s="4" t="s">
        <v>596</v>
      </c>
      <c r="B5" s="2"/>
      <c r="C5" s="2"/>
      <c r="D5" s="2"/>
      <c r="E5" s="2"/>
      <c r="F5" s="2"/>
      <c r="G5" s="2"/>
      <c r="H5" s="2"/>
      <c r="I5" s="2"/>
      <c r="J5" s="2"/>
      <c r="K5" s="2"/>
      <c r="L5" s="2"/>
      <c r="M5" s="2"/>
    </row>
    <row r="6" spans="1:13">
      <c r="A6" s="5"/>
      <c r="B6" s="5"/>
      <c r="C6" s="5"/>
      <c r="D6" s="5"/>
      <c r="E6" s="5"/>
      <c r="F6" s="5"/>
      <c r="G6" s="5"/>
      <c r="H6" s="5"/>
      <c r="I6" s="5"/>
      <c r="J6" s="5"/>
      <c r="K6" s="5"/>
      <c r="L6" s="5"/>
      <c r="M6" s="5"/>
    </row>
    <row r="7" spans="1:13">
      <c r="A7" s="5"/>
      <c r="B7" s="5"/>
      <c r="C7" s="5"/>
      <c r="D7" s="5"/>
      <c r="E7" s="5"/>
      <c r="F7" s="5"/>
      <c r="G7" s="5"/>
      <c r="H7" s="5"/>
      <c r="I7" s="5"/>
      <c r="J7" s="5"/>
      <c r="K7" s="5"/>
      <c r="L7" s="5"/>
      <c r="M7" s="5"/>
    </row>
    <row r="8" spans="1:13">
      <c r="A8" s="5"/>
      <c r="B8" s="5"/>
      <c r="C8" s="5"/>
      <c r="D8" s="5"/>
      <c r="E8" s="5"/>
      <c r="F8" s="5"/>
      <c r="G8" s="5"/>
      <c r="H8" s="5"/>
      <c r="I8" s="5"/>
      <c r="J8" s="5"/>
      <c r="K8" s="5"/>
      <c r="L8" s="5"/>
      <c r="M8" s="5"/>
    </row>
    <row r="9" spans="1:13">
      <c r="A9" s="6" t="s">
        <v>36</v>
      </c>
      <c r="B9" s="7">
        <v>41275</v>
      </c>
      <c r="C9" s="7">
        <v>41306</v>
      </c>
      <c r="D9" s="7">
        <v>41334</v>
      </c>
      <c r="E9" s="7">
        <v>41365</v>
      </c>
      <c r="F9" s="7">
        <v>41395</v>
      </c>
      <c r="G9" s="7">
        <v>41426</v>
      </c>
      <c r="H9" s="7">
        <v>41456</v>
      </c>
      <c r="I9" s="7">
        <v>41487</v>
      </c>
      <c r="J9" s="7">
        <v>41518</v>
      </c>
      <c r="K9" s="7">
        <v>41548</v>
      </c>
      <c r="L9" s="7">
        <v>41579</v>
      </c>
      <c r="M9" s="7">
        <v>41609</v>
      </c>
    </row>
    <row r="10" spans="1:13" ht="13.8" thickBot="1">
      <c r="A10" s="11"/>
      <c r="B10" s="8"/>
      <c r="C10" s="8"/>
      <c r="D10" s="8"/>
      <c r="E10" s="8"/>
      <c r="F10" s="8"/>
      <c r="G10" s="8"/>
      <c r="H10" s="8"/>
      <c r="I10" s="8"/>
      <c r="J10" s="8"/>
      <c r="K10" s="8"/>
      <c r="L10" s="8"/>
      <c r="M10" s="8"/>
    </row>
    <row r="11" spans="1:13" ht="13.8" thickBot="1">
      <c r="A11" s="12" t="s">
        <v>37</v>
      </c>
      <c r="B11" s="87">
        <v>48367934.899999999</v>
      </c>
      <c r="C11" s="87">
        <v>48368814.479999997</v>
      </c>
      <c r="D11" s="87">
        <v>47416307.18</v>
      </c>
      <c r="E11" s="87">
        <v>47416194.020000003</v>
      </c>
      <c r="F11" s="87">
        <v>47421141.630000003</v>
      </c>
      <c r="G11" s="87">
        <v>47440787.359999999</v>
      </c>
      <c r="H11" s="87">
        <v>47343128.509999998</v>
      </c>
      <c r="I11" s="87">
        <v>47343128.509999998</v>
      </c>
      <c r="J11" s="87">
        <v>47343128.509999998</v>
      </c>
      <c r="K11" s="87">
        <v>47347311.059999995</v>
      </c>
      <c r="L11" s="87">
        <v>47164065.709999993</v>
      </c>
      <c r="M11" s="13">
        <v>46041300.049999997</v>
      </c>
    </row>
    <row r="12" spans="1:13">
      <c r="A12" s="9" t="s">
        <v>38</v>
      </c>
      <c r="B12" s="10">
        <v>1409878473.7300005</v>
      </c>
      <c r="C12" s="10">
        <v>1414586513.3900006</v>
      </c>
      <c r="D12" s="10">
        <v>1411686287.4400005</v>
      </c>
      <c r="E12" s="10">
        <v>1421874298.8000004</v>
      </c>
      <c r="F12" s="10">
        <v>1423984895.7900004</v>
      </c>
      <c r="G12" s="10">
        <v>1448041848.9700005</v>
      </c>
      <c r="H12" s="10">
        <v>1449608464.2800004</v>
      </c>
      <c r="I12" s="10">
        <v>1450925353.5400004</v>
      </c>
      <c r="J12" s="10">
        <v>1452354088.0800004</v>
      </c>
      <c r="K12" s="10">
        <v>1455310533.0700004</v>
      </c>
      <c r="L12" s="10">
        <v>1464633684.4100003</v>
      </c>
      <c r="M12" s="10">
        <v>1481928807.6500003</v>
      </c>
    </row>
    <row r="13" spans="1:13" ht="13.8" thickBot="1">
      <c r="A13" s="5" t="s">
        <v>39</v>
      </c>
      <c r="B13" s="397">
        <f>SUM(B11:B12)</f>
        <v>1458246408.6300006</v>
      </c>
      <c r="C13" s="397">
        <f>SUM(C11:C12)</f>
        <v>1462955327.8700006</v>
      </c>
      <c r="D13" s="397">
        <f t="shared" ref="D13:M13" si="0">SUM(D11:D12)</f>
        <v>1459102594.6200006</v>
      </c>
      <c r="E13" s="397">
        <f t="shared" si="0"/>
        <v>1469290492.8200004</v>
      </c>
      <c r="F13" s="397">
        <f t="shared" si="0"/>
        <v>1471406037.4200006</v>
      </c>
      <c r="G13" s="397">
        <f t="shared" si="0"/>
        <v>1495482636.3300004</v>
      </c>
      <c r="H13" s="397">
        <f t="shared" si="0"/>
        <v>1496951592.7900004</v>
      </c>
      <c r="I13" s="397">
        <f t="shared" si="0"/>
        <v>1498268482.0500004</v>
      </c>
      <c r="J13" s="397">
        <f t="shared" si="0"/>
        <v>1499697216.5900004</v>
      </c>
      <c r="K13" s="397">
        <f t="shared" si="0"/>
        <v>1502657844.1300004</v>
      </c>
      <c r="L13" s="397">
        <f t="shared" si="0"/>
        <v>1511797750.1200004</v>
      </c>
      <c r="M13" s="397">
        <f t="shared" si="0"/>
        <v>1527970107.7000003</v>
      </c>
    </row>
    <row r="14" spans="1:13" ht="13.8" thickTop="1">
      <c r="A14" s="5"/>
      <c r="B14" s="8"/>
      <c r="C14" s="8"/>
      <c r="D14" s="8"/>
      <c r="E14" s="8"/>
      <c r="F14" s="8"/>
      <c r="G14" s="8"/>
      <c r="H14" s="8"/>
      <c r="I14" s="8"/>
      <c r="J14" s="8"/>
      <c r="K14" s="8"/>
      <c r="L14" s="8"/>
      <c r="M14" s="8"/>
    </row>
    <row r="15" spans="1:13">
      <c r="A15" s="14"/>
    </row>
    <row r="16" spans="1:13">
      <c r="A16" s="14"/>
    </row>
    <row r="31" spans="2:2">
      <c r="B31" s="3" t="s">
        <v>646</v>
      </c>
    </row>
  </sheetData>
  <phoneticPr fontId="42" type="noConversion"/>
  <printOptions horizontalCentered="1"/>
  <pageMargins left="0" right="0" top="0.97" bottom="0.25" header="0.17" footer="0.17"/>
  <pageSetup scale="61" orientation="landscape" r:id="rId1"/>
  <headerFooter alignWithMargins="0">
    <oddFooter>&amp;R&amp;"Arial,Regular"&amp;10&amp;A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1"/>
  <sheetViews>
    <sheetView topLeftCell="A10" workbookViewId="0">
      <selection activeCell="B33" sqref="B33"/>
    </sheetView>
  </sheetViews>
  <sheetFormatPr defaultColWidth="9.109375" defaultRowHeight="14.4"/>
  <cols>
    <col min="1" max="1" width="7.109375" style="43" customWidth="1"/>
    <col min="2" max="2" width="11.5546875" style="43" bestFit="1" customWidth="1"/>
    <col min="3" max="3" width="11.109375" style="43" bestFit="1" customWidth="1"/>
    <col min="4" max="4" width="13.33203125" style="43" bestFit="1" customWidth="1"/>
    <col min="5" max="5" width="12.5546875" style="43" bestFit="1" customWidth="1"/>
    <col min="6" max="6" width="11.33203125" style="43" bestFit="1" customWidth="1"/>
    <col min="7" max="7" width="1.33203125" style="43" customWidth="1"/>
    <col min="8" max="8" width="14.6640625" style="43" bestFit="1" customWidth="1"/>
    <col min="9" max="9" width="1.33203125" style="43" customWidth="1"/>
    <col min="10" max="10" width="11.5546875" style="43" bestFit="1" customWidth="1"/>
    <col min="11" max="16384" width="9.109375" style="43"/>
  </cols>
  <sheetData>
    <row r="1" spans="1:10">
      <c r="A1" s="485" t="s">
        <v>58</v>
      </c>
      <c r="B1" s="485"/>
      <c r="C1" s="485"/>
      <c r="D1" s="485"/>
      <c r="E1" s="485"/>
      <c r="F1" s="485"/>
      <c r="G1" s="485"/>
      <c r="H1" s="485"/>
      <c r="I1" s="485"/>
      <c r="J1" s="485"/>
    </row>
    <row r="2" spans="1:10">
      <c r="A2" s="485" t="s">
        <v>98</v>
      </c>
      <c r="B2" s="485"/>
      <c r="C2" s="485"/>
      <c r="D2" s="485"/>
      <c r="E2" s="485"/>
      <c r="F2" s="485"/>
      <c r="G2" s="485"/>
      <c r="H2" s="485"/>
      <c r="I2" s="485"/>
      <c r="J2" s="485"/>
    </row>
    <row r="3" spans="1:10">
      <c r="A3" s="485" t="s">
        <v>698</v>
      </c>
      <c r="B3" s="485"/>
      <c r="C3" s="485"/>
      <c r="D3" s="485"/>
      <c r="E3" s="485"/>
      <c r="F3" s="485"/>
      <c r="G3" s="485"/>
      <c r="H3" s="485"/>
      <c r="I3" s="485"/>
      <c r="J3" s="485" t="s">
        <v>14</v>
      </c>
    </row>
    <row r="4" spans="1:10">
      <c r="A4" s="353"/>
      <c r="B4" s="353"/>
      <c r="C4" s="353"/>
      <c r="D4" s="353"/>
      <c r="E4" s="353"/>
      <c r="F4" s="353"/>
      <c r="G4" s="353"/>
      <c r="H4" s="353"/>
      <c r="I4" s="353"/>
      <c r="J4" s="355" t="s">
        <v>14</v>
      </c>
    </row>
    <row r="5" spans="1:10" ht="15" thickBot="1">
      <c r="A5" s="42"/>
      <c r="B5" s="486" t="s">
        <v>94</v>
      </c>
      <c r="C5" s="486"/>
      <c r="D5" s="486"/>
      <c r="E5" s="487"/>
      <c r="F5" s="486"/>
      <c r="G5" s="42"/>
      <c r="H5" s="44" t="s">
        <v>95</v>
      </c>
      <c r="I5" s="42"/>
      <c r="J5" s="45" t="s">
        <v>56</v>
      </c>
    </row>
    <row r="6" spans="1:10">
      <c r="A6" s="42"/>
      <c r="B6" s="45" t="s">
        <v>53</v>
      </c>
      <c r="C6" s="45" t="s">
        <v>96</v>
      </c>
      <c r="D6" s="45" t="s">
        <v>97</v>
      </c>
      <c r="E6" s="46" t="s">
        <v>52</v>
      </c>
      <c r="F6" s="45" t="s">
        <v>68</v>
      </c>
      <c r="G6" s="42"/>
      <c r="H6" s="45" t="s">
        <v>53</v>
      </c>
      <c r="I6" s="45"/>
      <c r="J6" s="47" t="s">
        <v>98</v>
      </c>
    </row>
    <row r="7" spans="1:10">
      <c r="A7" s="48" t="s">
        <v>43</v>
      </c>
      <c r="B7" s="226">
        <v>1578325.1500000018</v>
      </c>
      <c r="C7" s="226">
        <v>6266.3</v>
      </c>
      <c r="D7" s="226">
        <v>328620.55000000005</v>
      </c>
      <c r="E7" s="304">
        <v>42032.84</v>
      </c>
      <c r="F7" s="226">
        <f>SUM(B7:E7)</f>
        <v>1955244.8400000019</v>
      </c>
      <c r="G7" s="226"/>
      <c r="H7" s="226">
        <v>3848628.6599999997</v>
      </c>
      <c r="I7" s="226"/>
      <c r="J7" s="227">
        <f>F7+H7</f>
        <v>5803873.5000000019</v>
      </c>
    </row>
    <row r="8" spans="1:10">
      <c r="A8" s="48" t="s">
        <v>45</v>
      </c>
      <c r="B8" s="226">
        <v>2039966.1800000006</v>
      </c>
      <c r="C8" s="226">
        <v>141184.84999999998</v>
      </c>
      <c r="D8" s="226">
        <v>72931.939999999988</v>
      </c>
      <c r="E8" s="302">
        <v>1067022.7100000002</v>
      </c>
      <c r="F8" s="226">
        <f t="shared" ref="F8:F12" si="0">SUM(B8:E8)</f>
        <v>3321105.6800000006</v>
      </c>
      <c r="G8" s="226"/>
      <c r="H8" s="226">
        <v>5465637.7700000005</v>
      </c>
      <c r="I8" s="226"/>
      <c r="J8" s="227">
        <f t="shared" ref="J8:J12" si="1">F8+H8</f>
        <v>8786743.4500000011</v>
      </c>
    </row>
    <row r="9" spans="1:10">
      <c r="A9" s="48" t="s">
        <v>44</v>
      </c>
      <c r="B9" s="226">
        <v>0</v>
      </c>
      <c r="C9" s="226">
        <v>130287.99</v>
      </c>
      <c r="D9" s="226">
        <v>200809.83</v>
      </c>
      <c r="E9" s="302">
        <v>5000</v>
      </c>
      <c r="F9" s="226">
        <f t="shared" si="0"/>
        <v>336097.82</v>
      </c>
      <c r="G9" s="226"/>
      <c r="H9" s="226">
        <v>3022572.26</v>
      </c>
      <c r="I9" s="226"/>
      <c r="J9" s="227">
        <f t="shared" si="1"/>
        <v>3358670.0799999996</v>
      </c>
    </row>
    <row r="10" spans="1:10">
      <c r="A10" s="48" t="s">
        <v>46</v>
      </c>
      <c r="B10" s="226">
        <v>1714985.8999999992</v>
      </c>
      <c r="C10" s="226">
        <v>93059.98</v>
      </c>
      <c r="D10" s="226">
        <v>446671.47999999992</v>
      </c>
      <c r="E10" s="302">
        <v>3344.42</v>
      </c>
      <c r="F10" s="226">
        <f t="shared" si="0"/>
        <v>2258061.7799999989</v>
      </c>
      <c r="G10" s="226"/>
      <c r="H10" s="226">
        <v>5168058.8999999994</v>
      </c>
      <c r="I10" s="226"/>
      <c r="J10" s="227">
        <f t="shared" si="1"/>
        <v>7426120.6799999978</v>
      </c>
    </row>
    <row r="11" spans="1:10">
      <c r="A11" s="51" t="s">
        <v>47</v>
      </c>
      <c r="B11" s="226">
        <v>0</v>
      </c>
      <c r="C11" s="226">
        <v>44799.950000000012</v>
      </c>
      <c r="D11" s="226">
        <v>4575.2700000000004</v>
      </c>
      <c r="E11" s="302">
        <v>1049038.57</v>
      </c>
      <c r="F11" s="226">
        <f t="shared" si="0"/>
        <v>1098413.79</v>
      </c>
      <c r="G11" s="226"/>
      <c r="H11" s="226">
        <v>646721.58000000007</v>
      </c>
      <c r="I11" s="226"/>
      <c r="J11" s="227">
        <f t="shared" si="1"/>
        <v>1745135.37</v>
      </c>
    </row>
    <row r="12" spans="1:10">
      <c r="A12" s="48" t="s">
        <v>48</v>
      </c>
      <c r="B12" s="226">
        <v>61275.120000000017</v>
      </c>
      <c r="C12" s="226">
        <v>7400</v>
      </c>
      <c r="D12" s="226">
        <v>516631.65000000008</v>
      </c>
      <c r="E12" s="302">
        <v>162372.33000000002</v>
      </c>
      <c r="F12" s="226">
        <f t="shared" si="0"/>
        <v>747679.10000000009</v>
      </c>
      <c r="G12" s="226"/>
      <c r="H12" s="226">
        <v>2866938.7800000003</v>
      </c>
      <c r="I12" s="226"/>
      <c r="J12" s="227">
        <f t="shared" si="1"/>
        <v>3614617.8800000004</v>
      </c>
    </row>
    <row r="13" spans="1:10" ht="15" thickBot="1">
      <c r="A13" s="42"/>
      <c r="B13" s="228">
        <f>SUM(B7:B12)</f>
        <v>5394552.3500000015</v>
      </c>
      <c r="C13" s="228">
        <f>SUM(C7:C12)</f>
        <v>422999.06999999995</v>
      </c>
      <c r="D13" s="228">
        <f t="shared" ref="D13:F13" si="2">SUM(D7:D12)</f>
        <v>1570240.7200000002</v>
      </c>
      <c r="E13" s="303">
        <f t="shared" si="2"/>
        <v>2328810.87</v>
      </c>
      <c r="F13" s="228">
        <f t="shared" si="2"/>
        <v>9716603.0099999998</v>
      </c>
      <c r="G13" s="226"/>
      <c r="H13" s="228">
        <f>SUM(H7:H12)</f>
        <v>21018557.950000003</v>
      </c>
      <c r="I13" s="226"/>
      <c r="J13" s="228">
        <f>SUM(J7:J12)</f>
        <v>30735160.960000001</v>
      </c>
    </row>
    <row r="14" spans="1:10" ht="15" thickTop="1">
      <c r="A14" s="42"/>
      <c r="B14" s="42"/>
      <c r="C14" s="42"/>
      <c r="D14" s="42"/>
      <c r="E14" s="42"/>
      <c r="F14" s="42"/>
      <c r="G14" s="42"/>
      <c r="H14" s="49"/>
      <c r="I14" s="42"/>
      <c r="J14" s="42"/>
    </row>
    <row r="15" spans="1:10">
      <c r="A15" s="50" t="s">
        <v>99</v>
      </c>
      <c r="B15" s="42"/>
      <c r="C15" s="42"/>
      <c r="D15" s="42"/>
      <c r="E15" s="42"/>
      <c r="F15" s="42"/>
      <c r="G15" s="42"/>
      <c r="H15" s="42"/>
      <c r="I15" s="42"/>
      <c r="J15" s="42"/>
    </row>
    <row r="31" spans="2:2">
      <c r="B31" s="43" t="s">
        <v>646</v>
      </c>
    </row>
  </sheetData>
  <mergeCells count="4">
    <mergeCell ref="B5:F5"/>
    <mergeCell ref="A1:J1"/>
    <mergeCell ref="A2:J2"/>
    <mergeCell ref="A3:J3"/>
  </mergeCells>
  <phoneticPr fontId="42" type="noConversion"/>
  <printOptions horizontalCentered="1"/>
  <pageMargins left="0.7" right="0.7" top="0.75" bottom="0.75" header="0.3" footer="0.3"/>
  <pageSetup scale="94" orientation="portrait" r:id="rId1"/>
  <headerFooter alignWithMargins="0">
    <oddFooter>&amp;R&amp;"Arial,Regular"&amp;10&amp;A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2"/>
  <sheetViews>
    <sheetView topLeftCell="A7" zoomScale="110" zoomScaleNormal="110" workbookViewId="0">
      <selection activeCell="A31" sqref="A31:C31"/>
    </sheetView>
  </sheetViews>
  <sheetFormatPr defaultColWidth="9.109375" defaultRowHeight="13.2"/>
  <cols>
    <col min="1" max="1" width="57.109375" style="18" customWidth="1"/>
    <col min="2" max="2" width="2.6640625" style="18" customWidth="1"/>
    <col min="3" max="3" width="16.5546875" style="23" bestFit="1" customWidth="1"/>
    <col min="4" max="4" width="3.44140625" style="18" bestFit="1" customWidth="1"/>
    <col min="5" max="5" width="9.109375" style="18"/>
    <col min="6" max="6" width="9.6640625" style="18" bestFit="1" customWidth="1"/>
    <col min="7" max="16384" width="9.109375" style="18"/>
  </cols>
  <sheetData>
    <row r="1" spans="1:4">
      <c r="A1" s="489" t="s">
        <v>0</v>
      </c>
      <c r="B1" s="489"/>
      <c r="C1" s="489"/>
    </row>
    <row r="2" spans="1:4">
      <c r="A2" s="489" t="s">
        <v>1</v>
      </c>
      <c r="B2" s="489"/>
      <c r="C2" s="489"/>
    </row>
    <row r="3" spans="1:4">
      <c r="A3" s="490" t="s">
        <v>614</v>
      </c>
      <c r="B3" s="489"/>
      <c r="C3" s="489"/>
    </row>
    <row r="6" spans="1:4">
      <c r="A6" s="18" t="s">
        <v>711</v>
      </c>
      <c r="C6" s="393">
        <f>-'WP 8a'!H20</f>
        <v>13109275.839999998</v>
      </c>
      <c r="D6" s="20" t="s">
        <v>141</v>
      </c>
    </row>
    <row r="7" spans="1:4">
      <c r="C7" s="371"/>
      <c r="D7" s="371"/>
    </row>
    <row r="8" spans="1:4">
      <c r="A8" s="491" t="s">
        <v>706</v>
      </c>
      <c r="B8" s="491"/>
      <c r="C8" s="491"/>
    </row>
    <row r="9" spans="1:4">
      <c r="A9" s="390" t="s">
        <v>2</v>
      </c>
      <c r="B9" s="19"/>
      <c r="C9" s="389">
        <v>296980.93999999994</v>
      </c>
    </row>
    <row r="10" spans="1:4">
      <c r="A10" s="390" t="s">
        <v>634</v>
      </c>
      <c r="B10" s="19"/>
      <c r="C10" s="389">
        <v>17036634.140000015</v>
      </c>
    </row>
    <row r="11" spans="1:4">
      <c r="A11" s="390" t="s">
        <v>3</v>
      </c>
      <c r="B11" s="19"/>
      <c r="C11" s="389">
        <v>470260.4499999999</v>
      </c>
    </row>
    <row r="12" spans="1:4">
      <c r="A12" s="390" t="s">
        <v>4</v>
      </c>
      <c r="B12" s="19"/>
      <c r="C12" s="389">
        <v>2730250.7600000002</v>
      </c>
    </row>
    <row r="13" spans="1:4">
      <c r="A13" s="390" t="s">
        <v>5</v>
      </c>
      <c r="B13" s="19"/>
      <c r="C13" s="389">
        <v>8656669.6000000034</v>
      </c>
    </row>
    <row r="14" spans="1:4">
      <c r="A14" s="390" t="s">
        <v>635</v>
      </c>
      <c r="B14" s="19"/>
      <c r="C14" s="389">
        <v>13821.16</v>
      </c>
    </row>
    <row r="15" spans="1:4">
      <c r="A15" s="390" t="s">
        <v>636</v>
      </c>
      <c r="B15" s="19"/>
      <c r="C15" s="389">
        <v>426746.28</v>
      </c>
    </row>
    <row r="16" spans="1:4">
      <c r="A16" s="390" t="s">
        <v>637</v>
      </c>
      <c r="B16" s="19"/>
      <c r="C16" s="389">
        <v>11121.45</v>
      </c>
    </row>
    <row r="17" spans="1:6">
      <c r="A17" s="390" t="s">
        <v>638</v>
      </c>
      <c r="B17" s="19"/>
      <c r="C17" s="389">
        <v>1427734.6099999999</v>
      </c>
    </row>
    <row r="18" spans="1:6">
      <c r="A18" s="390" t="s">
        <v>9</v>
      </c>
      <c r="B18" s="19"/>
      <c r="C18" s="389">
        <v>737027.5199999999</v>
      </c>
    </row>
    <row r="19" spans="1:6">
      <c r="A19" s="390" t="s">
        <v>6</v>
      </c>
      <c r="B19" s="19"/>
      <c r="C19" s="389">
        <v>132223.65</v>
      </c>
    </row>
    <row r="20" spans="1:6">
      <c r="A20" s="390" t="s">
        <v>7</v>
      </c>
      <c r="B20" s="19"/>
      <c r="C20" s="389">
        <v>777176.74999999965</v>
      </c>
    </row>
    <row r="21" spans="1:6">
      <c r="A21" s="390" t="s">
        <v>10</v>
      </c>
      <c r="B21" s="19"/>
      <c r="C21" s="389">
        <v>29872</v>
      </c>
    </row>
    <row r="22" spans="1:6">
      <c r="A22" s="390" t="s">
        <v>11</v>
      </c>
      <c r="B22" s="21"/>
      <c r="C22" s="389">
        <v>46183.850000000006</v>
      </c>
      <c r="D22" s="22"/>
    </row>
    <row r="23" spans="1:6">
      <c r="A23" s="390" t="s">
        <v>12</v>
      </c>
      <c r="B23" s="19"/>
      <c r="C23" s="389">
        <v>45972.03</v>
      </c>
    </row>
    <row r="24" spans="1:6">
      <c r="A24" s="391" t="s">
        <v>8</v>
      </c>
      <c r="B24" s="19"/>
      <c r="C24" s="392">
        <v>732211.3</v>
      </c>
    </row>
    <row r="25" spans="1:6">
      <c r="A25" s="390" t="s">
        <v>639</v>
      </c>
      <c r="B25" s="19"/>
      <c r="C25" s="389">
        <v>26284.129999999997</v>
      </c>
    </row>
    <row r="26" spans="1:6">
      <c r="A26" s="390" t="s">
        <v>640</v>
      </c>
      <c r="B26" s="19"/>
      <c r="C26" s="389">
        <v>16309.439999999999</v>
      </c>
    </row>
    <row r="27" spans="1:6" ht="13.8" thickBot="1">
      <c r="A27" s="356" t="s">
        <v>13</v>
      </c>
      <c r="B27" s="357"/>
      <c r="C27" s="358">
        <f>SUM(C9:C26)</f>
        <v>33613480.060000025</v>
      </c>
      <c r="D27" s="20" t="s">
        <v>647</v>
      </c>
      <c r="F27" s="24"/>
    </row>
    <row r="28" spans="1:6" ht="13.8" thickTop="1">
      <c r="C28" s="25"/>
    </row>
    <row r="29" spans="1:6">
      <c r="A29" s="18" t="s">
        <v>712</v>
      </c>
    </row>
    <row r="30" spans="1:6" ht="62.25" customHeight="1">
      <c r="A30" s="492" t="s">
        <v>713</v>
      </c>
      <c r="B30" s="492"/>
      <c r="C30" s="492"/>
    </row>
    <row r="31" spans="1:6">
      <c r="A31" s="488" t="s">
        <v>715</v>
      </c>
      <c r="B31" s="488"/>
      <c r="C31" s="488"/>
    </row>
    <row r="32" spans="1:6">
      <c r="A32" s="20" t="s">
        <v>716</v>
      </c>
    </row>
  </sheetData>
  <mergeCells count="6">
    <mergeCell ref="A31:C31"/>
    <mergeCell ref="A1:C1"/>
    <mergeCell ref="A2:C2"/>
    <mergeCell ref="A3:C3"/>
    <mergeCell ref="A8:C8"/>
    <mergeCell ref="A30:C30"/>
  </mergeCells>
  <phoneticPr fontId="42" type="noConversion"/>
  <printOptions horizontalCentered="1"/>
  <pageMargins left="0.45" right="0.38" top="0.64" bottom="0.78" header="0.3" footer="0.42"/>
  <pageSetup orientation="portrait" r:id="rId1"/>
  <headerFooter alignWithMargins="0">
    <oddFooter>&amp;R&amp;"Arial,Regular"&amp;10&amp;A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Index</vt:lpstr>
      <vt:lpstr>WP 1</vt:lpstr>
      <vt:lpstr>WP 2</vt:lpstr>
      <vt:lpstr>WP 3</vt:lpstr>
      <vt:lpstr>WP 4</vt:lpstr>
      <vt:lpstr>WP 5</vt:lpstr>
      <vt:lpstr>WP 6</vt:lpstr>
      <vt:lpstr>WP 7</vt:lpstr>
      <vt:lpstr>WP 8</vt:lpstr>
      <vt:lpstr>WP 8a</vt:lpstr>
      <vt:lpstr>WP 9</vt:lpstr>
      <vt:lpstr>WP 10</vt:lpstr>
      <vt:lpstr>WP 10a</vt:lpstr>
      <vt:lpstr>WP 11</vt:lpstr>
      <vt:lpstr>WP 12</vt:lpstr>
      <vt:lpstr>WP 13</vt:lpstr>
      <vt:lpstr>WP 13a</vt:lpstr>
      <vt:lpstr>WP 14</vt:lpstr>
      <vt:lpstr>WP 15</vt:lpstr>
      <vt:lpstr>WP 16</vt:lpstr>
      <vt:lpstr>WP 17</vt:lpstr>
      <vt:lpstr>WP 18</vt:lpstr>
      <vt:lpstr>'WP 1'!Print_Area</vt:lpstr>
      <vt:lpstr>'WP 10'!Print_Area</vt:lpstr>
      <vt:lpstr>'WP 11'!Print_Area</vt:lpstr>
      <vt:lpstr>'WP 13'!Print_Area</vt:lpstr>
      <vt:lpstr>'WP 13a'!Print_Area</vt:lpstr>
      <vt:lpstr>'WP 14'!Print_Area</vt:lpstr>
      <vt:lpstr>'WP 15'!Print_Area</vt:lpstr>
      <vt:lpstr>'WP 17'!Print_Area</vt:lpstr>
      <vt:lpstr>'WP 18'!Print_Area</vt:lpstr>
      <vt:lpstr>'WP 2'!Print_Area</vt:lpstr>
      <vt:lpstr>'WP 3'!Print_Area</vt:lpstr>
      <vt:lpstr>'WP 4'!Print_Area</vt:lpstr>
      <vt:lpstr>'WP 5'!Print_Area</vt:lpstr>
      <vt:lpstr>'WP 7'!Print_Area</vt:lpstr>
      <vt:lpstr>'WP 8'!Print_Area</vt:lpstr>
      <vt:lpstr>'WP 8a'!Print_Area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atucke6</dc:creator>
  <cp:lastModifiedBy>lsande2</cp:lastModifiedBy>
  <cp:lastPrinted>2014-05-30T15:17:27Z</cp:lastPrinted>
  <dcterms:created xsi:type="dcterms:W3CDTF">2013-05-17T18:52:53Z</dcterms:created>
  <dcterms:modified xsi:type="dcterms:W3CDTF">2014-05-30T15:22:35Z</dcterms:modified>
</cp:coreProperties>
</file>